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20" yWindow="15" windowWidth="15195" windowHeight="8190" firstSheet="2" activeTab="5"/>
  </bookViews>
  <sheets>
    <sheet name="Données" sheetId="1" r:id="rId1"/>
    <sheet name="ventes et encaissement" sheetId="2" r:id="rId2"/>
    <sheet name="achat et décaissement" sheetId="3" r:id="rId3"/>
    <sheet name="TVA" sheetId="4" r:id="rId4"/>
    <sheet name="Budget de trésorerie" sheetId="5" r:id="rId5"/>
    <sheet name="graphique" sheetId="6" r:id="rId6"/>
    <sheet name="compte resultat" sheetId="7" r:id="rId7"/>
  </sheets>
  <calcPr calcId="125725"/>
</workbook>
</file>

<file path=xl/calcChain.xml><?xml version="1.0" encoding="utf-8"?>
<calcChain xmlns="http://schemas.openxmlformats.org/spreadsheetml/2006/main">
  <c r="N5" i="4"/>
  <c r="C9" i="2"/>
  <c r="D9" s="1"/>
  <c r="B3" i="5"/>
  <c r="N4" i="4" l="1"/>
  <c r="O19" i="2"/>
  <c r="N19"/>
  <c r="M18"/>
  <c r="L17"/>
  <c r="K16"/>
  <c r="J15"/>
  <c r="I14"/>
  <c r="H13"/>
  <c r="G12"/>
  <c r="F11"/>
  <c r="E10"/>
  <c r="D21" l="1"/>
  <c r="C4" i="5" s="1"/>
  <c r="A6" i="7"/>
  <c r="A7"/>
  <c r="A5"/>
  <c r="C21" i="2"/>
  <c r="B4" i="5" s="1"/>
  <c r="B12" i="1"/>
  <c r="M3" i="3"/>
  <c r="N3"/>
  <c r="I3"/>
  <c r="L3"/>
  <c r="J3"/>
  <c r="K3"/>
  <c r="G3"/>
  <c r="H3"/>
  <c r="F3"/>
  <c r="D3"/>
  <c r="E3"/>
  <c r="C3"/>
  <c r="D9"/>
  <c r="E9"/>
  <c r="F9"/>
  <c r="G9"/>
  <c r="H9"/>
  <c r="I9"/>
  <c r="J9"/>
  <c r="K9"/>
  <c r="L9"/>
  <c r="M9"/>
  <c r="N9"/>
  <c r="D10"/>
  <c r="E10"/>
  <c r="F10"/>
  <c r="G10"/>
  <c r="H10"/>
  <c r="I10"/>
  <c r="J10"/>
  <c r="K10"/>
  <c r="L10"/>
  <c r="M10"/>
  <c r="N10"/>
  <c r="D12"/>
  <c r="E12"/>
  <c r="F12"/>
  <c r="G12"/>
  <c r="H12"/>
  <c r="I12"/>
  <c r="J12"/>
  <c r="K12"/>
  <c r="L12"/>
  <c r="M12"/>
  <c r="N12"/>
  <c r="C12"/>
  <c r="C10"/>
  <c r="C9"/>
  <c r="M3" i="2"/>
  <c r="N3"/>
  <c r="L3"/>
  <c r="J3"/>
  <c r="K3"/>
  <c r="I3"/>
  <c r="G3"/>
  <c r="H3"/>
  <c r="F3"/>
  <c r="D3"/>
  <c r="E3"/>
  <c r="C3"/>
  <c r="C4" s="1"/>
  <c r="B4" i="4" s="1"/>
  <c r="P12" i="3" l="1"/>
  <c r="B7" i="7" s="1"/>
  <c r="P9" i="3"/>
  <c r="B5" i="7" s="1"/>
  <c r="P10" i="3"/>
  <c r="B6" i="7" s="1"/>
  <c r="P3" i="3"/>
  <c r="P3" i="2"/>
  <c r="D4" i="7" s="1"/>
  <c r="C25" i="3"/>
  <c r="B5" i="5" s="1"/>
  <c r="B6" s="1"/>
  <c r="N4" i="2"/>
  <c r="L4"/>
  <c r="J4"/>
  <c r="H4"/>
  <c r="F4"/>
  <c r="D4"/>
  <c r="N4" i="3"/>
  <c r="L4"/>
  <c r="J4"/>
  <c r="H4"/>
  <c r="F4"/>
  <c r="D4"/>
  <c r="M4" i="2"/>
  <c r="K4"/>
  <c r="I4"/>
  <c r="G4"/>
  <c r="E4"/>
  <c r="C5"/>
  <c r="E9" s="1"/>
  <c r="E21" s="1"/>
  <c r="D4" i="5" s="1"/>
  <c r="C4" i="3"/>
  <c r="M4"/>
  <c r="K4"/>
  <c r="I4"/>
  <c r="G4"/>
  <c r="E4"/>
  <c r="B4" i="7" l="1"/>
  <c r="B8" s="1"/>
  <c r="B17"/>
  <c r="B14"/>
  <c r="C3" i="5"/>
  <c r="B7"/>
  <c r="I5" i="3"/>
  <c r="J19" s="1"/>
  <c r="H5" i="4"/>
  <c r="M5" i="3"/>
  <c r="N23" s="1"/>
  <c r="L5" i="4"/>
  <c r="G5" i="2"/>
  <c r="I13" s="1"/>
  <c r="I21" s="1"/>
  <c r="H4" i="5" s="1"/>
  <c r="F4" i="4"/>
  <c r="K5" i="2"/>
  <c r="M17" s="1"/>
  <c r="M21" s="1"/>
  <c r="L4" i="5" s="1"/>
  <c r="J4" i="4"/>
  <c r="D5" i="3"/>
  <c r="E14" s="1"/>
  <c r="C5" i="4"/>
  <c r="H5" i="3"/>
  <c r="I18" s="1"/>
  <c r="G5" i="4"/>
  <c r="L5" i="3"/>
  <c r="M22" s="1"/>
  <c r="K5" i="4"/>
  <c r="D5" i="2"/>
  <c r="F10" s="1"/>
  <c r="F21" s="1"/>
  <c r="E4" i="5" s="1"/>
  <c r="C4" i="4"/>
  <c r="H5" i="2"/>
  <c r="J14" s="1"/>
  <c r="J21" s="1"/>
  <c r="I4" i="5" s="1"/>
  <c r="G4" i="4"/>
  <c r="L5" i="2"/>
  <c r="N18" s="1"/>
  <c r="N21" s="1"/>
  <c r="M4" i="5" s="1"/>
  <c r="K4" i="4"/>
  <c r="E5" i="3"/>
  <c r="F15" s="1"/>
  <c r="D5" i="4"/>
  <c r="G5" i="3"/>
  <c r="H17" s="1"/>
  <c r="F5" i="4"/>
  <c r="K5" i="3"/>
  <c r="L21" s="1"/>
  <c r="J5" i="4"/>
  <c r="C5" i="3"/>
  <c r="D13" s="1"/>
  <c r="B5" i="4"/>
  <c r="E5" i="2"/>
  <c r="G11" s="1"/>
  <c r="G21" s="1"/>
  <c r="F4" i="5" s="1"/>
  <c r="D4" i="4"/>
  <c r="I5" i="2"/>
  <c r="K15" s="1"/>
  <c r="K21" s="1"/>
  <c r="J4" i="5" s="1"/>
  <c r="H4" i="4"/>
  <c r="M5" i="2"/>
  <c r="L4" i="4"/>
  <c r="F5" i="3"/>
  <c r="G16" s="1"/>
  <c r="E5" i="4"/>
  <c r="J5" i="3"/>
  <c r="K20" s="1"/>
  <c r="I5" i="4"/>
  <c r="N5" i="3"/>
  <c r="M5" i="4"/>
  <c r="F5" i="2"/>
  <c r="H12" s="1"/>
  <c r="H21" s="1"/>
  <c r="G4" i="5" s="1"/>
  <c r="E4" i="4"/>
  <c r="J5" i="2"/>
  <c r="L16" s="1"/>
  <c r="L21" s="1"/>
  <c r="K4" i="5" s="1"/>
  <c r="I4" i="4"/>
  <c r="N5" i="2"/>
  <c r="M4" i="4"/>
  <c r="A9" i="7" l="1"/>
  <c r="D9"/>
  <c r="D10" s="1"/>
  <c r="C9"/>
  <c r="B9"/>
  <c r="B10" s="1"/>
  <c r="B15"/>
  <c r="O13" i="3"/>
  <c r="O24"/>
  <c r="O4" i="5"/>
  <c r="Q20" i="2"/>
  <c r="P20"/>
  <c r="N4" i="5"/>
  <c r="O20" i="2"/>
  <c r="O21" s="1"/>
  <c r="B16" i="7"/>
  <c r="B20" s="1"/>
  <c r="B25" s="1"/>
  <c r="B26" s="1"/>
  <c r="B8" i="4"/>
  <c r="D11" i="3" s="1"/>
  <c r="B9" i="4"/>
  <c r="C7" s="1"/>
  <c r="C9" s="1"/>
  <c r="D7" s="1"/>
  <c r="B23" i="7" l="1"/>
  <c r="B21"/>
  <c r="D25" i="3"/>
  <c r="C5" i="5" s="1"/>
  <c r="C6" s="1"/>
  <c r="D3" s="1"/>
  <c r="B18" i="7"/>
  <c r="C16"/>
  <c r="C8" i="4"/>
  <c r="E11" i="3" s="1"/>
  <c r="E25" s="1"/>
  <c r="D5" i="5" s="1"/>
  <c r="D9" i="4"/>
  <c r="E7" s="1"/>
  <c r="D8"/>
  <c r="F11" i="3" s="1"/>
  <c r="F25" s="1"/>
  <c r="E5" i="5" s="1"/>
  <c r="C7" l="1"/>
  <c r="D6"/>
  <c r="E9" i="4"/>
  <c r="F7" s="1"/>
  <c r="E8"/>
  <c r="G11" i="3" s="1"/>
  <c r="G25" s="1"/>
  <c r="F5" i="5" s="1"/>
  <c r="D7" l="1"/>
  <c r="E3"/>
  <c r="E6" s="1"/>
  <c r="F9" i="4"/>
  <c r="G7" s="1"/>
  <c r="F8"/>
  <c r="H11" i="3" s="1"/>
  <c r="H25" s="1"/>
  <c r="G5" i="5" s="1"/>
  <c r="F3" l="1"/>
  <c r="F6" s="1"/>
  <c r="E7"/>
  <c r="G8" i="4"/>
  <c r="I11" i="3" s="1"/>
  <c r="I25" s="1"/>
  <c r="H5" i="5" s="1"/>
  <c r="G9" i="4"/>
  <c r="H7" s="1"/>
  <c r="F7" i="5" l="1"/>
  <c r="G3"/>
  <c r="G6" s="1"/>
  <c r="H8" i="4"/>
  <c r="J11" i="3" s="1"/>
  <c r="H9" i="4"/>
  <c r="I7" s="1"/>
  <c r="J25" i="3" l="1"/>
  <c r="I5" i="5" s="1"/>
  <c r="G7"/>
  <c r="H3"/>
  <c r="H6" s="1"/>
  <c r="I8" i="4"/>
  <c r="K11" i="3" s="1"/>
  <c r="K25" s="1"/>
  <c r="J5" i="5" s="1"/>
  <c r="I9" i="4"/>
  <c r="J7" s="1"/>
  <c r="H7" i="5" l="1"/>
  <c r="I3"/>
  <c r="I6" s="1"/>
  <c r="J8" i="4"/>
  <c r="L11" i="3" s="1"/>
  <c r="L25" s="1"/>
  <c r="K5" i="5" s="1"/>
  <c r="J9" i="4"/>
  <c r="K7" s="1"/>
  <c r="I7" i="5" l="1"/>
  <c r="J3"/>
  <c r="J6" s="1"/>
  <c r="K9" i="4"/>
  <c r="L7" s="1"/>
  <c r="K8"/>
  <c r="M11" i="3" s="1"/>
  <c r="M25" s="1"/>
  <c r="L5" i="5" s="1"/>
  <c r="J7" l="1"/>
  <c r="K3"/>
  <c r="K6" s="1"/>
  <c r="L8" i="4"/>
  <c r="N11" i="3" s="1"/>
  <c r="L9" i="4"/>
  <c r="M7" s="1"/>
  <c r="N25" i="3" l="1"/>
  <c r="M5" i="5" s="1"/>
  <c r="P11" i="3"/>
  <c r="K7" i="5"/>
  <c r="L3"/>
  <c r="L6" s="1"/>
  <c r="M8" i="4"/>
  <c r="O11" i="3" s="1"/>
  <c r="O25" s="1"/>
  <c r="M9" i="4"/>
  <c r="N7" s="1"/>
  <c r="N8" l="1"/>
  <c r="N9"/>
  <c r="L7" i="5"/>
  <c r="M3"/>
  <c r="M6" s="1"/>
  <c r="M7" s="1"/>
</calcChain>
</file>

<file path=xl/sharedStrings.xml><?xml version="1.0" encoding="utf-8"?>
<sst xmlns="http://schemas.openxmlformats.org/spreadsheetml/2006/main" count="165" uniqueCount="87">
  <si>
    <t>Objectif de ventes annuelles</t>
  </si>
  <si>
    <t>Prix de vente</t>
  </si>
  <si>
    <t>Prix d'achat</t>
  </si>
  <si>
    <t>Taux de TVA</t>
  </si>
  <si>
    <t>Loyers</t>
  </si>
  <si>
    <t>charges de personnel</t>
  </si>
  <si>
    <t>Impôts et taxes</t>
  </si>
  <si>
    <t>total des charges fixes</t>
  </si>
  <si>
    <t>fournisseurs</t>
  </si>
  <si>
    <t>Délai de règlement (en mois)</t>
  </si>
  <si>
    <t>Répartition des ventes de l'année</t>
  </si>
  <si>
    <t>Janvier à mars</t>
  </si>
  <si>
    <t>Juillet à septembre</t>
  </si>
  <si>
    <t>avril à juin</t>
  </si>
  <si>
    <t>Octobre à 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</si>
  <si>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</si>
  <si>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</si>
  <si>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</si>
  <si>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</si>
  <si>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</si>
  <si>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</si>
  <si>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</si>
  <si>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</si>
  <si>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</si>
  <si>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</si>
  <si>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</si>
  <si>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</si>
  <si>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Ventes ht</t>
  </si>
  <si>
    <t>TVA</t>
  </si>
  <si>
    <t>Ventes ttc</t>
  </si>
  <si>
    <t>Achats</t>
  </si>
  <si>
    <t xml:space="preserve">Budget des décaissements </t>
  </si>
  <si>
    <t>Impots et taxes</t>
  </si>
  <si>
    <t>Budget de trésorerie</t>
  </si>
  <si>
    <t>Trésorerie initiale</t>
  </si>
  <si>
    <t>Encaissements</t>
  </si>
  <si>
    <t>Décaissements</t>
  </si>
  <si>
    <t>Trésorerie finale</t>
  </si>
  <si>
    <t>TVA collectée</t>
  </si>
  <si>
    <t>TVA déductible sur ABS</t>
  </si>
  <si>
    <t>TVA déductible sur immos</t>
  </si>
  <si>
    <t>report crédit tva</t>
  </si>
  <si>
    <t>tva à décaisser</t>
  </si>
  <si>
    <t>crédit tva</t>
  </si>
  <si>
    <t>remboursement tva par état</t>
  </si>
  <si>
    <t xml:space="preserve">janvier </t>
  </si>
  <si>
    <t xml:space="preserve">Ventes 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</si>
  <si>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</si>
  <si>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</si>
  <si>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</si>
  <si>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</si>
  <si>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</si>
  <si>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</si>
  <si>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</si>
  <si>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</si>
  <si>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</si>
  <si>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</si>
  <si>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</si>
  <si>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</si>
  <si>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Ventes</t>
  </si>
  <si>
    <t>Total encaissement</t>
  </si>
  <si>
    <t>Fevrier</t>
  </si>
  <si>
    <t>totaux décaissements</t>
  </si>
  <si>
    <t>Charges fixes mensuelles</t>
  </si>
  <si>
    <t>Budget de TVA</t>
  </si>
  <si>
    <t>Charges</t>
  </si>
  <si>
    <t>compte résultat différentiel</t>
  </si>
  <si>
    <t>C affaires</t>
  </si>
  <si>
    <t>Charges variables</t>
  </si>
  <si>
    <t>Marge / cout variable</t>
  </si>
  <si>
    <t>Charges fixes</t>
  </si>
  <si>
    <t xml:space="preserve">Résultat </t>
  </si>
  <si>
    <t xml:space="preserve">seuil de rentabilité </t>
  </si>
  <si>
    <t>Nombre bbq</t>
  </si>
  <si>
    <t xml:space="preserve">Point Mort </t>
  </si>
  <si>
    <t>Marge de sécurité</t>
  </si>
  <si>
    <t>Indice de sécurité</t>
  </si>
  <si>
    <t>Compte de résultat prévisionnel</t>
  </si>
  <si>
    <r>
      <t>Clients (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ou </t>
    </r>
    <r>
      <rPr>
        <b/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)</t>
    </r>
  </si>
  <si>
    <t>Trésorerie initiale au 1 janvier</t>
  </si>
  <si>
    <t>janvier n+1</t>
  </si>
  <si>
    <t>Achats HT</t>
  </si>
  <si>
    <t>TTC</t>
  </si>
  <si>
    <t>Loyer</t>
  </si>
  <si>
    <t>Charges de personnel</t>
  </si>
  <si>
    <t xml:space="preserve">total </t>
  </si>
  <si>
    <t>Produits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</si>
</sst>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[$-40C]d\-mmm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mic Sans MS"/>
      <family val="4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omic Sans MS"/>
      <family val="4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0.7999816888943144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3" borderId="0" xfId="0" applyFill="1"/>
    <xf numFmtId="10" fontId="0" fillId="3" borderId="0" xfId="0" applyNumberFormat="1" applyFill="1"/>
    <xf numFmtId="43" fontId="0" fillId="0" borderId="0" xfId="0" applyNumberFormat="1"/>
    <xf numFmtId="0" fontId="1" fillId="2" borderId="1" xfId="2" applyBorder="1"/>
    <xf numFmtId="0" fontId="1" fillId="2" borderId="1" xfId="2" applyBorder="1" applyAlignment="1">
      <alignment horizontal="center"/>
    </xf>
    <xf numFmtId="43" fontId="1" fillId="2" borderId="1" xfId="2" applyNumberFormat="1" applyBorder="1"/>
    <xf numFmtId="0" fontId="0" fillId="2" borderId="1" xfId="2" applyFont="1" applyBorder="1"/>
    <xf numFmtId="0" fontId="2" fillId="0" borderId="0" xfId="0" applyFont="1"/>
    <xf numFmtId="43" fontId="1" fillId="2" borderId="1" xfId="1" applyFill="1" applyBorder="1"/>
    <xf numFmtId="43" fontId="0" fillId="5" borderId="1" xfId="0" applyNumberFormat="1" applyFill="1" applyBorder="1"/>
    <xf numFmtId="9" fontId="0" fillId="3" borderId="1" xfId="0" applyNumberFormat="1" applyFill="1" applyBorder="1" applyAlignment="1">
      <alignment horizontal="center" vertical="center"/>
    </xf>
    <xf numFmtId="43" fontId="0" fillId="5" borderId="1" xfId="1" applyFont="1" applyFill="1" applyBorder="1"/>
    <xf numFmtId="0" fontId="3" fillId="0" borderId="5" xfId="0" applyFont="1" applyBorder="1"/>
    <xf numFmtId="4" fontId="3" fillId="0" borderId="9" xfId="0" applyNumberFormat="1" applyFont="1" applyBorder="1"/>
    <xf numFmtId="4" fontId="4" fillId="0" borderId="1" xfId="0" applyNumberFormat="1" applyFont="1" applyBorder="1"/>
    <xf numFmtId="0" fontId="5" fillId="0" borderId="0" xfId="0" applyFont="1"/>
    <xf numFmtId="0" fontId="2" fillId="2" borderId="0" xfId="2" applyFont="1" applyBorder="1"/>
    <xf numFmtId="0" fontId="1" fillId="2" borderId="12" xfId="2" applyBorder="1"/>
    <xf numFmtId="0" fontId="0" fillId="5" borderId="14" xfId="2" applyFont="1" applyFill="1" applyBorder="1"/>
    <xf numFmtId="0" fontId="0" fillId="5" borderId="10" xfId="2" applyFont="1" applyFill="1" applyBorder="1"/>
    <xf numFmtId="0" fontId="0" fillId="5" borderId="11" xfId="2" applyFont="1" applyFill="1" applyBorder="1"/>
    <xf numFmtId="0" fontId="6" fillId="5" borderId="1" xfId="0" applyFont="1" applyFill="1" applyBorder="1"/>
    <xf numFmtId="43" fontId="2" fillId="5" borderId="1" xfId="0" applyNumberFormat="1" applyFont="1" applyFill="1" applyBorder="1"/>
    <xf numFmtId="0" fontId="2" fillId="5" borderId="10" xfId="2" applyFont="1" applyFill="1" applyBorder="1"/>
    <xf numFmtId="0" fontId="0" fillId="5" borderId="0" xfId="0" applyFill="1"/>
    <xf numFmtId="43" fontId="1" fillId="5" borderId="1" xfId="2" applyNumberFormat="1" applyFill="1" applyBorder="1"/>
    <xf numFmtId="43" fontId="6" fillId="5" borderId="1" xfId="1" applyFont="1" applyFill="1" applyBorder="1"/>
    <xf numFmtId="43" fontId="0" fillId="2" borderId="1" xfId="2" applyNumberFormat="1" applyFont="1" applyBorder="1"/>
    <xf numFmtId="0" fontId="0" fillId="5" borderId="1" xfId="0" applyFill="1" applyBorder="1"/>
    <xf numFmtId="43" fontId="0" fillId="2" borderId="10" xfId="1" applyFont="1" applyFill="1" applyBorder="1"/>
    <xf numFmtId="0" fontId="2" fillId="5" borderId="1" xfId="2" applyFont="1" applyFill="1" applyBorder="1"/>
    <xf numFmtId="43" fontId="0" fillId="5" borderId="0" xfId="1" applyFont="1" applyFill="1"/>
    <xf numFmtId="164" fontId="0" fillId="0" borderId="0" xfId="0" applyNumberFormat="1"/>
    <xf numFmtId="0" fontId="8" fillId="0" borderId="0" xfId="0" applyFont="1"/>
    <xf numFmtId="0" fontId="2" fillId="4" borderId="0" xfId="0" applyFont="1" applyFill="1"/>
    <xf numFmtId="0" fontId="0" fillId="6" borderId="15" xfId="0" applyFill="1" applyBorder="1"/>
    <xf numFmtId="43" fontId="0" fillId="6" borderId="0" xfId="1" applyFont="1" applyFill="1" applyBorder="1"/>
    <xf numFmtId="43" fontId="0" fillId="6" borderId="0" xfId="0" applyNumberFormat="1" applyFill="1" applyBorder="1"/>
    <xf numFmtId="0" fontId="0" fillId="6" borderId="16" xfId="0" applyFill="1" applyBorder="1"/>
    <xf numFmtId="43" fontId="0" fillId="6" borderId="19" xfId="0" applyNumberFormat="1" applyFill="1" applyBorder="1"/>
    <xf numFmtId="0" fontId="7" fillId="7" borderId="13" xfId="0" applyFont="1" applyFill="1" applyBorder="1"/>
    <xf numFmtId="0" fontId="7" fillId="7" borderId="18" xfId="0" applyFont="1" applyFill="1" applyBorder="1"/>
    <xf numFmtId="0" fontId="7" fillId="7" borderId="14" xfId="0" applyFont="1" applyFill="1" applyBorder="1"/>
    <xf numFmtId="0" fontId="0" fillId="5" borderId="12" xfId="0" applyFill="1" applyBorder="1"/>
    <xf numFmtId="0" fontId="0" fillId="5" borderId="2" xfId="0" applyFill="1" applyBorder="1"/>
    <xf numFmtId="0" fontId="0" fillId="5" borderId="17" xfId="0" applyFill="1" applyBorder="1"/>
    <xf numFmtId="43" fontId="0" fillId="5" borderId="12" xfId="0" applyNumberFormat="1" applyFill="1" applyBorder="1"/>
    <xf numFmtId="43" fontId="0" fillId="5" borderId="2" xfId="0" applyNumberFormat="1" applyFill="1" applyBorder="1"/>
    <xf numFmtId="0" fontId="2" fillId="5" borderId="2" xfId="0" applyFont="1" applyFill="1" applyBorder="1"/>
    <xf numFmtId="43" fontId="2" fillId="5" borderId="2" xfId="0" applyNumberFormat="1" applyFont="1" applyFill="1" applyBorder="1"/>
    <xf numFmtId="9" fontId="2" fillId="5" borderId="2" xfId="3" applyFont="1" applyFill="1" applyBorder="1"/>
    <xf numFmtId="0" fontId="2" fillId="5" borderId="17" xfId="0" applyFont="1" applyFill="1" applyBorder="1"/>
    <xf numFmtId="43" fontId="2" fillId="5" borderId="17" xfId="0" applyNumberFormat="1" applyFont="1" applyFill="1" applyBorder="1"/>
    <xf numFmtId="165" fontId="0" fillId="5" borderId="0" xfId="0" applyNumberFormat="1" applyFill="1" applyAlignment="1">
      <alignment horizontal="center" vertical="center"/>
    </xf>
    <xf numFmtId="0" fontId="10" fillId="0" borderId="0" xfId="0" applyFont="1"/>
    <xf numFmtId="0" fontId="6" fillId="8" borderId="3" xfId="0" applyFont="1" applyFill="1" applyBorder="1"/>
    <xf numFmtId="0" fontId="6" fillId="8" borderId="4" xfId="0" applyFont="1" applyFill="1" applyBorder="1" applyAlignment="1">
      <alignment horizontal="center"/>
    </xf>
    <xf numFmtId="0" fontId="6" fillId="8" borderId="6" xfId="0" applyFont="1" applyFill="1" applyBorder="1"/>
    <xf numFmtId="4" fontId="6" fillId="8" borderId="1" xfId="0" applyNumberFormat="1" applyFont="1" applyFill="1" applyBorder="1"/>
    <xf numFmtId="0" fontId="6" fillId="8" borderId="7" xfId="0" applyFont="1" applyFill="1" applyBorder="1"/>
    <xf numFmtId="4" fontId="6" fillId="8" borderId="8" xfId="0" applyNumberFormat="1" applyFont="1" applyFill="1" applyBorder="1"/>
    <xf numFmtId="4" fontId="9" fillId="8" borderId="8" xfId="0" applyNumberFormat="1" applyFont="1" applyFill="1" applyBorder="1"/>
    <xf numFmtId="0" fontId="11" fillId="0" borderId="1" xfId="0" applyFont="1" applyBorder="1" applyAlignment="1">
      <alignment vertical="center" wrapText="1"/>
    </xf>
    <xf numFmtId="0" fontId="2" fillId="3" borderId="0" xfId="0" applyFont="1" applyFill="1"/>
    <xf numFmtId="0" fontId="6" fillId="5" borderId="21" xfId="0" applyFont="1" applyFill="1" applyBorder="1"/>
    <xf numFmtId="43" fontId="6" fillId="5" borderId="11" xfId="1" applyFont="1" applyFill="1" applyBorder="1"/>
    <xf numFmtId="0" fontId="1" fillId="9" borderId="1" xfId="2" applyFill="1" applyBorder="1" applyAlignment="1">
      <alignment horizontal="center"/>
    </xf>
    <xf numFmtId="43" fontId="1" fillId="9" borderId="1" xfId="1" applyFill="1" applyBorder="1"/>
    <xf numFmtId="0" fontId="6" fillId="9" borderId="1" xfId="0" applyFont="1" applyFill="1" applyBorder="1"/>
    <xf numFmtId="43" fontId="0" fillId="9" borderId="1" xfId="1" applyFont="1" applyFill="1" applyBorder="1"/>
    <xf numFmtId="43" fontId="2" fillId="9" borderId="1" xfId="0" applyNumberFormat="1" applyFont="1" applyFill="1" applyBorder="1"/>
    <xf numFmtId="10" fontId="0" fillId="2" borderId="1" xfId="2" applyNumberFormat="1" applyFont="1" applyBorder="1"/>
    <xf numFmtId="1" fontId="0" fillId="3" borderId="0" xfId="0" applyNumberFormat="1" applyFill="1"/>
    <xf numFmtId="0" fontId="2" fillId="4" borderId="0" xfId="2" applyFont="1" applyFill="1" applyBorder="1"/>
    <xf numFmtId="0" fontId="0" fillId="5" borderId="13" xfId="0" applyFill="1" applyBorder="1" applyAlignment="1">
      <alignment horizontal="center" vertical="center" textRotation="90"/>
    </xf>
    <xf numFmtId="0" fontId="0" fillId="5" borderId="15" xfId="0" applyFill="1" applyBorder="1" applyAlignment="1">
      <alignment horizontal="center" vertical="center" textRotation="90"/>
    </xf>
    <xf numFmtId="0" fontId="0" fillId="5" borderId="16" xfId="0" applyFill="1" applyBorder="1" applyAlignment="1">
      <alignment horizontal="center" vertical="center" textRotation="90"/>
    </xf>
    <xf numFmtId="0" fontId="0" fillId="5" borderId="12" xfId="0" applyFill="1" applyBorder="1" applyAlignment="1">
      <alignment horizontal="center" vertical="center" textRotation="90"/>
    </xf>
    <xf numFmtId="0" fontId="0" fillId="5" borderId="2" xfId="0" applyFill="1" applyBorder="1" applyAlignment="1">
      <alignment horizontal="center" vertical="center" textRotation="90"/>
    </xf>
    <xf numFmtId="0" fontId="0" fillId="5" borderId="17" xfId="0" applyFill="1" applyBorder="1" applyAlignment="1">
      <alignment horizontal="center" vertical="center" textRotation="90"/>
    </xf>
    <xf numFmtId="43" fontId="0" fillId="6" borderId="20" xfId="0" applyNumberFormat="1" applyFill="1" applyBorder="1"/>
    <xf numFmtId="43" fontId="14" fillId="6" borderId="0" xfId="0" applyNumberFormat="1" applyFont="1" applyFill="1" applyBorder="1"/>
    <xf numFmtId="43" fontId="0" fillId="6" borderId="10" xfId="1" applyNumberFormat="1" applyFont="1" applyFill="1" applyBorder="1"/>
    <xf numFmtId="43" fontId="0" fillId="6" borderId="10" xfId="0" applyNumberFormat="1" applyFill="1" applyBorder="1"/>
    <xf numFmtId="9" fontId="0" fillId="5" borderId="0" xfId="3" applyNumberFormat="1" applyFont="1" applyFill="1" applyAlignment="1">
      <alignment horizontal="center" vertical="center"/>
    </xf>
    <xf numFmtId="43" fontId="0" fillId="5" borderId="0" xfId="0" applyNumberFormat="1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</cellXfs>
  <cellStyles count="4">
    <cellStyle name="40 % - Accent1" xfId="2" builtinId="31"/>
    <cellStyle name="Milliers" xfId="1" builtinId="3"/>
    <cellStyle name="Normal" xfId="0" builtinId="0"/>
    <cellStyle name="Pourcentage" xfId="3" builtinId="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trésorerie annuelle 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dLbls>
            <c:dLbl>
              <c:idx val="11"/>
              <c:delete val="1"/>
            </c:dLbl>
            <c:dLblPos val="b"/>
            <c:showVal val="1"/>
          </c:dLbls>
          <c:cat>
            <c:strRef>
              <c:f>'Budget de trésorerie'!$B$2:$C$2</c:f>
              <c:strCache>
                <c:ptCount val="2"/>
                <c:pt idx="0">
                  <c:v>janvier</c:v>
                </c:pt>
                <c:pt idx="1">
                  <c:v>février</c:v>
                </c:pt>
              </c:strCache>
            </c:strRef>
          </c:cat>
          <c:val>
            <c:numRef>
              <c:f>'Budget de trésorerie'!$C$7:$M$7</c:f>
              <c:numCache>
                <c:formatCode>_-* #,##0\ _€_-;\-* #,##0\ _€_-;_-* "-"??\ _€_-;_-@_-</c:formatCode>
                <c:ptCount val="11"/>
                <c:pt idx="0">
                  <c:v>-60.47</c:v>
                </c:pt>
                <c:pt idx="1">
                  <c:v>-16.97</c:v>
                </c:pt>
                <c:pt idx="2">
                  <c:v>26.53</c:v>
                </c:pt>
                <c:pt idx="3">
                  <c:v>-3604.6700000000005</c:v>
                </c:pt>
                <c:pt idx="4">
                  <c:v>-2661.170000000001</c:v>
                </c:pt>
                <c:pt idx="5">
                  <c:v>-1717.6700000000014</c:v>
                </c:pt>
                <c:pt idx="6">
                  <c:v>2015.6499999999985</c:v>
                </c:pt>
                <c:pt idx="7">
                  <c:v>2419.1499999999983</c:v>
                </c:pt>
                <c:pt idx="8">
                  <c:v>2822.6499999999983</c:v>
                </c:pt>
                <c:pt idx="9">
                  <c:v>3314.3499999999981</c:v>
                </c:pt>
                <c:pt idx="10">
                  <c:v>2891.1099999999983</c:v>
                </c:pt>
              </c:numCache>
            </c:numRef>
          </c:val>
        </c:ser>
        <c:dLbls>
          <c:showVal val="1"/>
        </c:dLbls>
        <c:marker val="1"/>
        <c:axId val="65251968"/>
        <c:axId val="65257856"/>
      </c:lineChart>
      <c:catAx>
        <c:axId val="65251968"/>
        <c:scaling>
          <c:orientation val="minMax"/>
        </c:scaling>
        <c:axPos val="b"/>
        <c:majorTickMark val="none"/>
        <c:tickLblPos val="nextTo"/>
        <c:crossAx val="65257856"/>
        <c:crosses val="autoZero"/>
        <c:auto val="1"/>
        <c:lblAlgn val="ctr"/>
        <c:lblOffset val="100"/>
      </c:catAx>
      <c:valAx>
        <c:axId val="652578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milliers d'euros</a:t>
                </a:r>
              </a:p>
            </c:rich>
          </c:tx>
          <c:layout/>
        </c:title>
        <c:numFmt formatCode="_-* #,##0\ _€_-;\-* #,##0\ _€_-;_-* &quot;-&quot;??\ _€_-;_-@_-" sourceLinked="1"/>
        <c:majorTickMark val="none"/>
        <c:tickLblPos val="nextTo"/>
        <c:crossAx val="65251968"/>
        <c:crosses val="autoZero"/>
        <c:crossBetween val="between"/>
      </c:valAx>
    </c:plotArea>
    <c:plotVisOnly val="1"/>
    <c:dispBlanksAs val="zero"/>
  </c:chart>
  <c:spPr>
    <a:solidFill>
      <a:schemeClr val="lt1"/>
    </a:solidFill>
    <a:ln w="25400" cap="flat" cmpd="sng" algn="ctr">
      <a:solidFill>
        <a:schemeClr val="accent2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trésorerie annuelle 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dLbls>
            <c:dLbl>
              <c:idx val="11"/>
              <c:layout/>
              <c:dLblPos val="b"/>
              <c:showVal val="1"/>
              <c:showSerName val="1"/>
            </c:dLbl>
            <c:dLblPos val="b"/>
            <c:showVal val="1"/>
          </c:dLbls>
          <c:cat>
            <c:strRef>
              <c:f>'Budget de trésorerie'!$B$2:$N$2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'Budget de trésorerie'!$B$7:$M$7</c:f>
              <c:numCache>
                <c:formatCode>_-* #,##0\ _€_-;\-* #,##0\ _€_-;_-* "-"??\ _€_-;_-@_-</c:formatCode>
                <c:ptCount val="12"/>
                <c:pt idx="0">
                  <c:v>-246.5</c:v>
                </c:pt>
                <c:pt idx="1">
                  <c:v>-60.47</c:v>
                </c:pt>
                <c:pt idx="2">
                  <c:v>-16.97</c:v>
                </c:pt>
                <c:pt idx="3">
                  <c:v>26.53</c:v>
                </c:pt>
                <c:pt idx="4">
                  <c:v>-3604.6700000000005</c:v>
                </c:pt>
                <c:pt idx="5">
                  <c:v>-2661.170000000001</c:v>
                </c:pt>
                <c:pt idx="6">
                  <c:v>-1717.6700000000014</c:v>
                </c:pt>
                <c:pt idx="7">
                  <c:v>2015.6499999999985</c:v>
                </c:pt>
                <c:pt idx="8">
                  <c:v>2419.1499999999983</c:v>
                </c:pt>
                <c:pt idx="9">
                  <c:v>2822.6499999999983</c:v>
                </c:pt>
                <c:pt idx="10">
                  <c:v>3314.3499999999981</c:v>
                </c:pt>
                <c:pt idx="11">
                  <c:v>2891.1099999999983</c:v>
                </c:pt>
              </c:numCache>
            </c:numRef>
          </c:val>
        </c:ser>
        <c:dLbls>
          <c:showVal val="1"/>
        </c:dLbls>
        <c:marker val="1"/>
        <c:axId val="65781760"/>
        <c:axId val="65783296"/>
      </c:lineChart>
      <c:catAx>
        <c:axId val="65781760"/>
        <c:scaling>
          <c:orientation val="minMax"/>
        </c:scaling>
        <c:axPos val="b"/>
        <c:majorTickMark val="none"/>
        <c:tickLblPos val="nextTo"/>
        <c:crossAx val="65783296"/>
        <c:crosses val="autoZero"/>
        <c:auto val="1"/>
        <c:lblAlgn val="ctr"/>
        <c:lblOffset val="100"/>
      </c:catAx>
      <c:valAx>
        <c:axId val="65783296"/>
        <c:scaling>
          <c:orientation val="minMax"/>
        </c:scaling>
        <c:axPos val="l"/>
        <c:majorGridlines/>
        <c:title>
          <c:layout/>
        </c:title>
        <c:numFmt formatCode="_-* #,##0\ _€_-;\-* #,##0\ _€_-;_-* &quot;-&quot;??\ _€_-;_-@_-" sourceLinked="1"/>
        <c:majorTickMark val="none"/>
        <c:tickLblPos val="nextTo"/>
        <c:crossAx val="65781760"/>
        <c:crosses val="autoZero"/>
        <c:crossBetween val="between"/>
      </c:valAx>
    </c:plotArea>
    <c:plotVisOnly val="1"/>
    <c:dispBlanksAs val="zero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trésorerie annuelle 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dLbls>
            <c:dLbl>
              <c:idx val="11"/>
              <c:delete val="1"/>
            </c:dLbl>
            <c:dLblPos val="b"/>
            <c:showVal val="1"/>
          </c:dLbls>
          <c:cat>
            <c:strRef>
              <c:f>'Budget de trésorerie'!$C$2:$N$2</c:f>
              <c:strCache>
                <c:ptCount val="11"/>
                <c:pt idx="0">
                  <c:v>février</c:v>
                </c:pt>
                <c:pt idx="1">
                  <c:v>mars</c:v>
                </c:pt>
                <c:pt idx="2">
                  <c:v>avril</c:v>
                </c:pt>
                <c:pt idx="3">
                  <c:v>mai</c:v>
                </c:pt>
                <c:pt idx="4">
                  <c:v>juin</c:v>
                </c:pt>
                <c:pt idx="5">
                  <c:v>juillet</c:v>
                </c:pt>
                <c:pt idx="6">
                  <c:v>août</c:v>
                </c:pt>
                <c:pt idx="7">
                  <c:v>septembre</c:v>
                </c:pt>
                <c:pt idx="8">
                  <c:v>octobre</c:v>
                </c:pt>
                <c:pt idx="9">
                  <c:v>novembre</c:v>
                </c:pt>
                <c:pt idx="10">
                  <c:v>décembre</c:v>
                </c:pt>
              </c:strCache>
            </c:strRef>
          </c:cat>
          <c:val>
            <c:numRef>
              <c:f>'Budget de trésorerie'!$C$7:$M$7</c:f>
              <c:numCache>
                <c:formatCode>_-* #,##0\ _€_-;\-* #,##0\ _€_-;_-* "-"??\ _€_-;_-@_-</c:formatCode>
                <c:ptCount val="11"/>
                <c:pt idx="0">
                  <c:v>-60.47</c:v>
                </c:pt>
                <c:pt idx="1">
                  <c:v>-16.97</c:v>
                </c:pt>
                <c:pt idx="2">
                  <c:v>26.53</c:v>
                </c:pt>
                <c:pt idx="3">
                  <c:v>-3604.6700000000005</c:v>
                </c:pt>
                <c:pt idx="4">
                  <c:v>-2661.170000000001</c:v>
                </c:pt>
                <c:pt idx="5">
                  <c:v>-1717.6700000000014</c:v>
                </c:pt>
                <c:pt idx="6">
                  <c:v>2015.6499999999985</c:v>
                </c:pt>
                <c:pt idx="7">
                  <c:v>2419.1499999999983</c:v>
                </c:pt>
                <c:pt idx="8">
                  <c:v>2822.6499999999983</c:v>
                </c:pt>
                <c:pt idx="9">
                  <c:v>3314.3499999999981</c:v>
                </c:pt>
                <c:pt idx="10">
                  <c:v>2891.1099999999983</c:v>
                </c:pt>
              </c:numCache>
            </c:numRef>
          </c:val>
        </c:ser>
        <c:dLbls>
          <c:showVal val="1"/>
        </c:dLbls>
        <c:marker val="1"/>
        <c:axId val="65930752"/>
        <c:axId val="65932288"/>
      </c:lineChart>
      <c:catAx>
        <c:axId val="65930752"/>
        <c:scaling>
          <c:orientation val="minMax"/>
        </c:scaling>
        <c:axPos val="b"/>
        <c:majorTickMark val="none"/>
        <c:tickLblPos val="nextTo"/>
        <c:crossAx val="65932288"/>
        <c:crosses val="autoZero"/>
        <c:auto val="1"/>
        <c:lblAlgn val="ctr"/>
        <c:lblOffset val="100"/>
      </c:catAx>
      <c:valAx>
        <c:axId val="659322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milliers d'euros</a:t>
                </a:r>
              </a:p>
            </c:rich>
          </c:tx>
          <c:layout/>
        </c:title>
        <c:numFmt formatCode="_-* #,##0\ _€_-;\-* #,##0\ _€_-;_-* &quot;-&quot;??\ _€_-;_-@_-" sourceLinked="1"/>
        <c:majorTickMark val="none"/>
        <c:tickLblPos val="nextTo"/>
        <c:crossAx val="65930752"/>
        <c:crosses val="autoZero"/>
        <c:crossBetween val="between"/>
      </c:valAx>
    </c:plotArea>
    <c:plotVisOnly val="1"/>
    <c:dispBlanksAs val="zero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657225</xdr:colOff>
      <xdr:row>0</xdr:row>
      <xdr:rowOff>114299</xdr:rowOff>
    </xdr:from>
    <xdr:to>
      <xdr:col>9</xdr:col>
      <xdr:colOff>371475</xdr:colOff>
      <xdr:row>3</xdr:row>
      <xdr:rowOff>9524</xdr:rowOff>
    </xdr:to>
    <xdr:sp macro="[0]!remise_situation_initiale" textlink="">
      <xdr:nvSpPr>
        <xdr:cNvPr id="3" name="Rectangle à coins arrondis 2"/>
        <xdr:cNvSpPr/>
      </xdr:nvSpPr>
      <xdr:spPr>
        <a:xfrm>
          <a:off x="7515225" y="114299"/>
          <a:ext cx="1238250" cy="657225"/>
        </a:xfrm>
        <a:prstGeom prst="roundRect">
          <a:avLst/>
        </a:prstGeom>
        <a:scene3d>
          <a:camera prst="orthographicFront"/>
          <a:lightRig rig="sunrise" dir="t">
            <a:rot lat="0" lon="0" rev="5400000"/>
          </a:lightRig>
        </a:scene3d>
        <a:sp3d contourW="12700">
          <a:bevelT w="133350"/>
          <a:bevelB w="44450"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/>
            <a:t>Remise à la situation initiale</a:t>
          </a:r>
        </a:p>
      </xdr:txBody>
    </xdr:sp>
    <xdr:clientData/>
  </xdr:twoCellAnchor>
  <xdr:twoCellAnchor editAs="oneCell">
    <xdr:from>
      <xdr:col>0</xdr:col>
      <xdr:colOff>133350</xdr:colOff>
      <xdr:row>18</xdr:row>
      <xdr:rowOff>139204</xdr:rowOff>
    </xdr:from>
    <xdr:to>
      <xdr:col>1</xdr:col>
      <xdr:colOff>409575</xdr:colOff>
      <xdr:row>27</xdr:row>
      <xdr:rowOff>19050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250" t="25000" b="17500"/>
        <a:stretch>
          <a:fillRect/>
        </a:stretch>
      </xdr:blipFill>
      <xdr:spPr bwMode="auto">
        <a:xfrm>
          <a:off x="133350" y="3758704"/>
          <a:ext cx="2571750" cy="159434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619126</xdr:colOff>
      <xdr:row>4</xdr:row>
      <xdr:rowOff>123826</xdr:rowOff>
    </xdr:from>
    <xdr:to>
      <xdr:col>9</xdr:col>
      <xdr:colOff>180975</xdr:colOff>
      <xdr:row>19</xdr:row>
      <xdr:rowOff>123826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180974</xdr:rowOff>
    </xdr:from>
    <xdr:to>
      <xdr:col>12</xdr:col>
      <xdr:colOff>95250</xdr:colOff>
      <xdr:row>22</xdr:row>
      <xdr:rowOff>95249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0</xdr:row>
      <xdr:rowOff>95250</xdr:rowOff>
    </xdr:from>
    <xdr:to>
      <xdr:col>9</xdr:col>
      <xdr:colOff>733425</xdr:colOff>
      <xdr:row>22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18"/>
  <sheetViews>
    <sheetView showGridLines="0" workbookViewId="0">
      <selection activeCell="E21" sqref="E21"/>
    </sheetView>
  </sheetViews>
  <sheetFormatPr baseColWidth="10" defaultRowHeight="15"/>
  <cols>
    <col min="1" max="1" width="34.42578125" customWidth="1"/>
    <col min="4" max="4" width="11.28515625" customWidth="1"/>
    <col min="5" max="5" width="11.42578125" customWidth="1"/>
  </cols>
  <sheetData>
    <row r="1" spans="1:7">
      <c r="A1" t="s">
        <v>0</v>
      </c>
      <c r="B1" s="1">
        <v>30000</v>
      </c>
      <c r="D1" t="s">
        <v>10</v>
      </c>
    </row>
    <row r="2" spans="1:7" ht="24">
      <c r="D2" s="63" t="s">
        <v>11</v>
      </c>
      <c r="E2" s="63" t="s">
        <v>13</v>
      </c>
      <c r="F2" s="63" t="s">
        <v>12</v>
      </c>
      <c r="G2" s="63" t="s">
        <v>14</v>
      </c>
    </row>
    <row r="3" spans="1:7">
      <c r="A3" t="s">
        <v>1</v>
      </c>
      <c r="B3" s="1">
        <v>255</v>
      </c>
      <c r="D3" s="11">
        <v>0.05</v>
      </c>
      <c r="E3" s="11">
        <v>0.55000000000000004</v>
      </c>
      <c r="F3" s="11">
        <v>0.25</v>
      </c>
      <c r="G3" s="11">
        <v>0.15</v>
      </c>
    </row>
    <row r="4" spans="1:7">
      <c r="A4" t="s">
        <v>2</v>
      </c>
      <c r="B4" s="1">
        <v>195</v>
      </c>
    </row>
    <row r="6" spans="1:7">
      <c r="A6" t="s">
        <v>3</v>
      </c>
      <c r="B6" s="2">
        <v>0.19600000000000001</v>
      </c>
    </row>
    <row r="8" spans="1:7">
      <c r="A8" t="s">
        <v>63</v>
      </c>
    </row>
    <row r="9" spans="1:7">
      <c r="A9" t="s">
        <v>4</v>
      </c>
      <c r="B9" s="1">
        <v>9000</v>
      </c>
    </row>
    <row r="10" spans="1:7">
      <c r="A10" t="s">
        <v>5</v>
      </c>
      <c r="B10" s="1">
        <v>35000</v>
      </c>
    </row>
    <row r="11" spans="1:7">
      <c r="A11" t="s">
        <v>6</v>
      </c>
      <c r="B11" s="1">
        <v>2500</v>
      </c>
    </row>
    <row r="12" spans="1:7">
      <c r="A12" t="s">
        <v>7</v>
      </c>
      <c r="B12" s="8">
        <f>SUM(B9:B11)</f>
        <v>46500</v>
      </c>
    </row>
    <row r="14" spans="1:7">
      <c r="A14" t="s">
        <v>79</v>
      </c>
      <c r="B14" s="73">
        <v>200000</v>
      </c>
    </row>
    <row r="16" spans="1:7">
      <c r="A16" s="34" t="s">
        <v>9</v>
      </c>
    </row>
    <row r="17" spans="1:2">
      <c r="A17" t="s">
        <v>78</v>
      </c>
      <c r="B17" s="64">
        <v>2</v>
      </c>
    </row>
    <row r="18" spans="1:2">
      <c r="A18" t="s">
        <v>8</v>
      </c>
      <c r="B18" s="35">
        <v>1</v>
      </c>
    </row>
  </sheetData>
  <sheetProtection selectLockedCells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Q21"/>
  <sheetViews>
    <sheetView topLeftCell="A15" workbookViewId="0">
      <selection activeCell="D9" sqref="D9"/>
    </sheetView>
  </sheetViews>
  <sheetFormatPr baseColWidth="10" defaultRowHeight="15"/>
  <cols>
    <col min="1" max="1" width="4.42578125" customWidth="1"/>
    <col min="2" max="2" width="15.28515625" customWidth="1"/>
    <col min="3" max="3" width="15.7109375" customWidth="1"/>
    <col min="4" max="13" width="14.28515625" bestFit="1" customWidth="1"/>
    <col min="14" max="14" width="15" customWidth="1"/>
    <col min="15" max="15" width="14.28515625" bestFit="1" customWidth="1"/>
    <col min="16" max="16" width="15.28515625" bestFit="1" customWidth="1"/>
    <col min="17" max="17" width="14.28515625" bestFit="1" customWidth="1"/>
  </cols>
  <sheetData>
    <row r="1" spans="1:16">
      <c r="B1" s="8" t="s">
        <v>46</v>
      </c>
    </row>
    <row r="2" spans="1:16">
      <c r="B2" s="4"/>
      <c r="C2" s="5" t="s">
        <v>15</v>
      </c>
      <c r="D2" s="5" t="s">
        <v>16</v>
      </c>
      <c r="E2" s="5" t="s">
        <v>17</v>
      </c>
      <c r="F2" s="5" t="s">
        <v>18</v>
      </c>
      <c r="G2" s="5" t="s">
        <v>19</v>
      </c>
      <c r="H2" s="5" t="s">
        <v>20</v>
      </c>
      <c r="I2" s="5" t="s">
        <v>21</v>
      </c>
      <c r="J2" s="5" t="s">
        <v>22</v>
      </c>
      <c r="K2" s="5" t="s">
        <v>23</v>
      </c>
      <c r="L2" s="5" t="s">
        <v>24</v>
      </c>
      <c r="M2" s="5" t="s">
        <v>25</v>
      </c>
      <c r="N2" s="5" t="s">
        <v>26</v>
      </c>
      <c r="O2" s="5"/>
    </row>
    <row r="3" spans="1:16">
      <c r="B3" s="4" t="s">
        <v>27</v>
      </c>
      <c r="C3" s="6">
        <f>Données!$B$1*Données!$D$3*Données!$B$3</f>
        <v>382500</v>
      </c>
      <c r="D3" s="6">
        <f>Données!$B$1*Données!$D$3*Données!$B$3</f>
        <v>382500</v>
      </c>
      <c r="E3" s="6">
        <f>Données!$B$1*Données!$D$3*Données!$B$3</f>
        <v>382500</v>
      </c>
      <c r="F3" s="6">
        <f>Données!$B$1*Données!$E$3*Données!$B$3</f>
        <v>4207500</v>
      </c>
      <c r="G3" s="6">
        <f>Données!$B$1*Données!$E$3*Données!$B$3</f>
        <v>4207500</v>
      </c>
      <c r="H3" s="6">
        <f>Données!$B$1*Données!$E$3*Données!$B$3</f>
        <v>4207500</v>
      </c>
      <c r="I3" s="6">
        <f>Données!$B$1*Données!$F$3*Données!$B$3</f>
        <v>1912500</v>
      </c>
      <c r="J3" s="6">
        <f>Données!$B$1*Données!$F$3*Données!$B$3</f>
        <v>1912500</v>
      </c>
      <c r="K3" s="6">
        <f>Données!$B$1*Données!$F$3*Données!$B$3</f>
        <v>1912500</v>
      </c>
      <c r="L3" s="6">
        <f>Données!$B$1*Données!$G$3*Données!$B$3</f>
        <v>1147500</v>
      </c>
      <c r="M3" s="6">
        <f>Données!$B$1*Données!$G$3*Données!$B$3</f>
        <v>1147500</v>
      </c>
      <c r="N3" s="6">
        <f>Données!$B$1*Données!$G$3*Données!$B$3</f>
        <v>1147500</v>
      </c>
      <c r="O3" s="6"/>
      <c r="P3" s="3">
        <f>SUM(C3:O3)</f>
        <v>22950000</v>
      </c>
    </row>
    <row r="4" spans="1:16">
      <c r="B4" s="4" t="s">
        <v>28</v>
      </c>
      <c r="C4" s="6">
        <f>Données!$B$6*C3</f>
        <v>74970</v>
      </c>
      <c r="D4" s="6">
        <f>Données!$B$6*D3</f>
        <v>74970</v>
      </c>
      <c r="E4" s="6">
        <f>Données!$B$6*E3</f>
        <v>74970</v>
      </c>
      <c r="F4" s="6">
        <f>Données!$B$6*F3</f>
        <v>824670</v>
      </c>
      <c r="G4" s="6">
        <f>Données!$B$6*G3</f>
        <v>824670</v>
      </c>
      <c r="H4" s="6">
        <f>Données!$B$6*H3</f>
        <v>824670</v>
      </c>
      <c r="I4" s="6">
        <f>Données!$B$6*I3</f>
        <v>374850</v>
      </c>
      <c r="J4" s="6">
        <f>Données!$B$6*J3</f>
        <v>374850</v>
      </c>
      <c r="K4" s="6">
        <f>Données!$B$6*K3</f>
        <v>374850</v>
      </c>
      <c r="L4" s="6">
        <f>Données!$B$6*L3</f>
        <v>224910</v>
      </c>
      <c r="M4" s="6">
        <f>Données!$B$6*M3</f>
        <v>224910</v>
      </c>
      <c r="N4" s="6">
        <f>Données!$B$6*N3</f>
        <v>224910</v>
      </c>
      <c r="O4" s="6"/>
    </row>
    <row r="5" spans="1:16">
      <c r="B5" s="4" t="s">
        <v>29</v>
      </c>
      <c r="C5" s="6">
        <f t="shared" ref="C5:N5" si="0">C3+C4</f>
        <v>457470</v>
      </c>
      <c r="D5" s="6">
        <f t="shared" si="0"/>
        <v>457470</v>
      </c>
      <c r="E5" s="6">
        <f t="shared" si="0"/>
        <v>457470</v>
      </c>
      <c r="F5" s="6">
        <f t="shared" si="0"/>
        <v>5032170</v>
      </c>
      <c r="G5" s="6">
        <f t="shared" si="0"/>
        <v>5032170</v>
      </c>
      <c r="H5" s="6">
        <f t="shared" si="0"/>
        <v>5032170</v>
      </c>
      <c r="I5" s="6">
        <f t="shared" si="0"/>
        <v>2287350</v>
      </c>
      <c r="J5" s="6">
        <f t="shared" si="0"/>
        <v>2287350</v>
      </c>
      <c r="K5" s="6">
        <f t="shared" si="0"/>
        <v>2287350</v>
      </c>
      <c r="L5" s="6">
        <f t="shared" si="0"/>
        <v>1372410</v>
      </c>
      <c r="M5" s="6">
        <f t="shared" si="0"/>
        <v>1372410</v>
      </c>
      <c r="N5" s="6">
        <f t="shared" si="0"/>
        <v>1372410</v>
      </c>
      <c r="O5" s="6"/>
    </row>
    <row r="7" spans="1:16">
      <c r="B7" s="17" t="s">
        <v>35</v>
      </c>
    </row>
    <row r="8" spans="1:16">
      <c r="B8" s="18"/>
      <c r="C8" s="5" t="s">
        <v>15</v>
      </c>
      <c r="D8" s="5" t="s">
        <v>16</v>
      </c>
      <c r="E8" s="5" t="s">
        <v>17</v>
      </c>
      <c r="F8" s="5" t="s">
        <v>18</v>
      </c>
      <c r="G8" s="5" t="s">
        <v>19</v>
      </c>
      <c r="H8" s="5" t="s">
        <v>20</v>
      </c>
      <c r="I8" s="5" t="s">
        <v>21</v>
      </c>
      <c r="J8" s="5" t="s">
        <v>22</v>
      </c>
      <c r="K8" s="5" t="s">
        <v>23</v>
      </c>
      <c r="L8" s="5" t="s">
        <v>24</v>
      </c>
      <c r="M8" s="5" t="s">
        <v>25</v>
      </c>
      <c r="N8" s="5" t="s">
        <v>26</v>
      </c>
      <c r="O8" s="67" t="s">
        <v>15</v>
      </c>
    </row>
    <row r="9" spans="1:16">
      <c r="A9" s="75" t="s">
        <v>59</v>
      </c>
      <c r="B9" s="21" t="s">
        <v>47</v>
      </c>
      <c r="C9" s="6">
        <f>IF(Données!B14=1466814,1114074,600000)</f>
        <v>600000</v>
      </c>
      <c r="D9" s="32">
        <f>IF(Données!$B$17=1,C5,C9)</f>
        <v>600000</v>
      </c>
      <c r="E9" s="26">
        <f>IF(Données!B17=2,C5,0)</f>
        <v>457470</v>
      </c>
      <c r="F9" s="26"/>
      <c r="G9" s="26"/>
      <c r="H9" s="26"/>
      <c r="I9" s="26"/>
      <c r="J9" s="26"/>
      <c r="K9" s="26"/>
      <c r="L9" s="26"/>
      <c r="M9" s="26"/>
      <c r="N9" s="26"/>
      <c r="O9" s="68"/>
    </row>
    <row r="10" spans="1:16">
      <c r="A10" s="76"/>
      <c r="B10" s="20" t="s">
        <v>48</v>
      </c>
      <c r="C10" s="6"/>
      <c r="D10" s="26"/>
      <c r="E10" s="32">
        <f>IF(Données!B17=1,D5,0)</f>
        <v>0</v>
      </c>
      <c r="F10" s="26">
        <f>IF(Données!B17=2,D5,0)</f>
        <v>457470</v>
      </c>
      <c r="G10" s="26"/>
      <c r="H10" s="26"/>
      <c r="I10" s="26"/>
      <c r="J10" s="26"/>
      <c r="K10" s="26"/>
      <c r="L10" s="26"/>
      <c r="M10" s="26"/>
      <c r="N10" s="26"/>
      <c r="O10" s="68"/>
    </row>
    <row r="11" spans="1:16">
      <c r="A11" s="76"/>
      <c r="B11" s="19" t="s">
        <v>49</v>
      </c>
      <c r="C11" s="6"/>
      <c r="D11" s="26"/>
      <c r="E11" s="26"/>
      <c r="F11" s="32">
        <f>IF(Données!B17=1,E5,0)</f>
        <v>0</v>
      </c>
      <c r="G11" s="26">
        <f>IF(Données!B17=2,E5,0)</f>
        <v>457470</v>
      </c>
      <c r="H11" s="26"/>
      <c r="I11" s="26"/>
      <c r="J11" s="26"/>
      <c r="K11" s="26"/>
      <c r="L11" s="26"/>
      <c r="M11" s="26"/>
      <c r="N11" s="26"/>
      <c r="O11" s="68"/>
    </row>
    <row r="12" spans="1:16">
      <c r="A12" s="76"/>
      <c r="B12" s="21" t="s">
        <v>50</v>
      </c>
      <c r="C12" s="22"/>
      <c r="D12" s="22"/>
      <c r="E12" s="22"/>
      <c r="F12" s="22"/>
      <c r="G12" s="32">
        <f>IF(Données!$B$17=1,F5,0)</f>
        <v>0</v>
      </c>
      <c r="H12" s="12">
        <f>IF(Données!$B$17=2,F5,0)</f>
        <v>5032170</v>
      </c>
      <c r="I12" s="22"/>
      <c r="J12" s="22"/>
      <c r="K12" s="22"/>
      <c r="L12" s="22"/>
      <c r="M12" s="22"/>
      <c r="N12" s="22"/>
      <c r="O12" s="69"/>
    </row>
    <row r="13" spans="1:16">
      <c r="A13" s="76"/>
      <c r="B13" s="20" t="s">
        <v>51</v>
      </c>
      <c r="C13" s="22"/>
      <c r="D13" s="22"/>
      <c r="E13" s="22"/>
      <c r="F13" s="22"/>
      <c r="G13" s="65"/>
      <c r="H13" s="12">
        <f>IF(Données!$B$17=1,G5,0)</f>
        <v>0</v>
      </c>
      <c r="I13" s="12">
        <f>IF(Données!$B$17=2,G5,0)</f>
        <v>5032170</v>
      </c>
      <c r="J13" s="12"/>
      <c r="K13" s="22"/>
      <c r="L13" s="22"/>
      <c r="M13" s="22"/>
      <c r="N13" s="22"/>
      <c r="O13" s="69"/>
    </row>
    <row r="14" spans="1:16">
      <c r="A14" s="76"/>
      <c r="B14" s="21" t="s">
        <v>52</v>
      </c>
      <c r="C14" s="22"/>
      <c r="D14" s="22"/>
      <c r="E14" s="22"/>
      <c r="F14" s="22"/>
      <c r="G14" s="65"/>
      <c r="H14" s="22"/>
      <c r="I14" s="12">
        <f>IF(Données!$B$17=1,H5,0)</f>
        <v>0</v>
      </c>
      <c r="J14" s="12">
        <f>IF(Données!$B$17=2,H5,0)</f>
        <v>5032170</v>
      </c>
      <c r="K14" s="22"/>
      <c r="L14" s="22"/>
      <c r="M14" s="22"/>
      <c r="N14" s="22"/>
      <c r="O14" s="69"/>
    </row>
    <row r="15" spans="1:16">
      <c r="A15" s="76"/>
      <c r="B15" s="20" t="s">
        <v>53</v>
      </c>
      <c r="C15" s="22"/>
      <c r="D15" s="22"/>
      <c r="E15" s="22"/>
      <c r="F15" s="22"/>
      <c r="G15" s="65"/>
      <c r="H15" s="22"/>
      <c r="I15" s="22"/>
      <c r="J15" s="12">
        <f>IF(Données!$B$17=1,I5,0)</f>
        <v>0</v>
      </c>
      <c r="K15" s="12">
        <f>IF(Données!$B$17=2,I5,0)</f>
        <v>2287350</v>
      </c>
      <c r="L15" s="22"/>
      <c r="M15" s="22"/>
      <c r="N15" s="22"/>
      <c r="O15" s="69"/>
    </row>
    <row r="16" spans="1:16">
      <c r="A16" s="76"/>
      <c r="B16" s="21" t="s">
        <v>54</v>
      </c>
      <c r="C16" s="22"/>
      <c r="D16" s="22"/>
      <c r="E16" s="22"/>
      <c r="F16" s="22"/>
      <c r="G16" s="65"/>
      <c r="H16" s="22"/>
      <c r="I16" s="22"/>
      <c r="J16" s="22"/>
      <c r="K16" s="12">
        <f>IF(Données!$B$17=1,J5,0)</f>
        <v>0</v>
      </c>
      <c r="L16" s="12">
        <f>IF(Données!$B$17=2,J5,0)</f>
        <v>2287350</v>
      </c>
      <c r="M16" s="22"/>
      <c r="N16" s="22"/>
      <c r="O16" s="69"/>
    </row>
    <row r="17" spans="1:17">
      <c r="A17" s="76"/>
      <c r="B17" s="21" t="s">
        <v>55</v>
      </c>
      <c r="C17" s="22"/>
      <c r="D17" s="22"/>
      <c r="E17" s="22"/>
      <c r="F17" s="22"/>
      <c r="G17" s="65"/>
      <c r="H17" s="22"/>
      <c r="I17" s="22"/>
      <c r="J17" s="22"/>
      <c r="K17" s="22"/>
      <c r="L17" s="12">
        <f>IF(Données!$B$17=1,K5,0)</f>
        <v>0</v>
      </c>
      <c r="M17" s="12">
        <f>IF(Données!$B$17=2,K5,0)</f>
        <v>2287350</v>
      </c>
      <c r="N17" s="22"/>
      <c r="O17" s="69"/>
    </row>
    <row r="18" spans="1:17">
      <c r="A18" s="76"/>
      <c r="B18" s="21" t="s">
        <v>56</v>
      </c>
      <c r="C18" s="22"/>
      <c r="D18" s="22"/>
      <c r="E18" s="22"/>
      <c r="F18" s="22"/>
      <c r="G18" s="65"/>
      <c r="H18" s="22"/>
      <c r="I18" s="22"/>
      <c r="J18" s="22"/>
      <c r="K18" s="22"/>
      <c r="L18" s="22"/>
      <c r="M18" s="12">
        <f>IF(Données!$B$17=1,L5,0)</f>
        <v>0</v>
      </c>
      <c r="N18" s="12">
        <f>IF(Données!$B$17=2,L5,0)</f>
        <v>1372410</v>
      </c>
      <c r="O18" s="69"/>
    </row>
    <row r="19" spans="1:17">
      <c r="A19" s="76"/>
      <c r="B19" s="20" t="s">
        <v>57</v>
      </c>
      <c r="C19" s="22"/>
      <c r="D19" s="22"/>
      <c r="E19" s="22"/>
      <c r="F19" s="22"/>
      <c r="G19" s="65"/>
      <c r="H19" s="22"/>
      <c r="I19" s="22"/>
      <c r="J19" s="22"/>
      <c r="K19" s="22"/>
      <c r="L19" s="22"/>
      <c r="M19" s="22"/>
      <c r="N19" s="12">
        <f>IF(Données!$B$17=1,M5,0)</f>
        <v>0</v>
      </c>
      <c r="O19" s="70">
        <f>IF(Données!$B$17=1,N5,0)</f>
        <v>0</v>
      </c>
    </row>
    <row r="20" spans="1:17">
      <c r="A20" s="77"/>
      <c r="B20" s="21" t="s">
        <v>58</v>
      </c>
      <c r="C20" s="22"/>
      <c r="D20" s="22"/>
      <c r="E20" s="22"/>
      <c r="F20" s="22"/>
      <c r="G20" s="65"/>
      <c r="H20" s="22"/>
      <c r="I20" s="22"/>
      <c r="J20" s="22"/>
      <c r="K20" s="22"/>
      <c r="L20" s="22"/>
      <c r="M20" s="22"/>
      <c r="N20" s="22"/>
      <c r="O20" s="70">
        <f>IF(Données!$B$17=2,M5,0)</f>
        <v>1372410</v>
      </c>
      <c r="P20" s="66">
        <f>N5</f>
        <v>1372410</v>
      </c>
      <c r="Q20" s="27">
        <f>N5</f>
        <v>1372410</v>
      </c>
    </row>
    <row r="21" spans="1:17">
      <c r="B21" s="24" t="s">
        <v>60</v>
      </c>
      <c r="C21" s="23">
        <f>SUM(C9:C20)</f>
        <v>600000</v>
      </c>
      <c r="D21" s="23">
        <f t="shared" ref="D21:O21" si="1">SUM(D9:D20)</f>
        <v>600000</v>
      </c>
      <c r="E21" s="23">
        <f>SUM(E9:E20)</f>
        <v>457470</v>
      </c>
      <c r="F21" s="23">
        <f t="shared" si="1"/>
        <v>457470</v>
      </c>
      <c r="G21" s="23">
        <f t="shared" si="1"/>
        <v>457470</v>
      </c>
      <c r="H21" s="23">
        <f t="shared" si="1"/>
        <v>5032170</v>
      </c>
      <c r="I21" s="23">
        <f t="shared" si="1"/>
        <v>5032170</v>
      </c>
      <c r="J21" s="23">
        <f t="shared" si="1"/>
        <v>5032170</v>
      </c>
      <c r="K21" s="23">
        <f t="shared" si="1"/>
        <v>2287350</v>
      </c>
      <c r="L21" s="23">
        <f t="shared" si="1"/>
        <v>2287350</v>
      </c>
      <c r="M21" s="23">
        <f t="shared" si="1"/>
        <v>2287350</v>
      </c>
      <c r="N21" s="23">
        <f t="shared" si="1"/>
        <v>1372410</v>
      </c>
      <c r="O21" s="71">
        <f t="shared" si="1"/>
        <v>1372410</v>
      </c>
    </row>
  </sheetData>
  <mergeCells count="1">
    <mergeCell ref="A9:A2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P25"/>
  <sheetViews>
    <sheetView topLeftCell="A20" workbookViewId="0">
      <selection activeCell="E14" sqref="E14"/>
    </sheetView>
  </sheetViews>
  <sheetFormatPr baseColWidth="10" defaultRowHeight="15"/>
  <cols>
    <col min="1" max="1" width="3.85546875" customWidth="1"/>
    <col min="2" max="2" width="20.140625" customWidth="1"/>
    <col min="3" max="3" width="15.28515625" bestFit="1" customWidth="1"/>
    <col min="4" max="8" width="14.28515625" bestFit="1" customWidth="1"/>
    <col min="9" max="12" width="14.42578125" bestFit="1" customWidth="1"/>
    <col min="13" max="15" width="14.28515625" bestFit="1" customWidth="1"/>
    <col min="16" max="16" width="15" customWidth="1"/>
  </cols>
  <sheetData>
    <row r="1" spans="1:16">
      <c r="B1" s="8" t="s">
        <v>30</v>
      </c>
    </row>
    <row r="2" spans="1:16">
      <c r="B2" s="4"/>
      <c r="C2" s="5" t="s">
        <v>15</v>
      </c>
      <c r="D2" s="5" t="s">
        <v>16</v>
      </c>
      <c r="E2" s="5" t="s">
        <v>17</v>
      </c>
      <c r="F2" s="5" t="s">
        <v>18</v>
      </c>
      <c r="G2" s="5" t="s">
        <v>19</v>
      </c>
      <c r="H2" s="5" t="s">
        <v>20</v>
      </c>
      <c r="I2" s="5" t="s">
        <v>21</v>
      </c>
      <c r="J2" s="5" t="s">
        <v>22</v>
      </c>
      <c r="K2" s="5" t="s">
        <v>23</v>
      </c>
      <c r="L2" s="5" t="s">
        <v>24</v>
      </c>
      <c r="M2" s="5" t="s">
        <v>25</v>
      </c>
      <c r="N2" s="5" t="s">
        <v>26</v>
      </c>
    </row>
    <row r="3" spans="1:16">
      <c r="B3" s="7" t="s">
        <v>81</v>
      </c>
      <c r="C3" s="9">
        <f>Données!$B$1*Données!$B$4*Données!$D$3</f>
        <v>292500</v>
      </c>
      <c r="D3" s="9">
        <f>Données!$B$1*Données!$B$4*Données!$D$3</f>
        <v>292500</v>
      </c>
      <c r="E3" s="9">
        <f>Données!$B$1*Données!$B$4*Données!$D$3</f>
        <v>292500</v>
      </c>
      <c r="F3" s="9">
        <f>Données!$B$1*Données!$B$4*Données!$E$3</f>
        <v>3217500.0000000005</v>
      </c>
      <c r="G3" s="9">
        <f>Données!$B$1*Données!$B$4*Données!$E$3</f>
        <v>3217500.0000000005</v>
      </c>
      <c r="H3" s="9">
        <f>Données!$B$1*Données!$B$4*Données!$E$3</f>
        <v>3217500.0000000005</v>
      </c>
      <c r="I3" s="9">
        <f>Données!$B$1*Données!$B$4*Données!$G$3</f>
        <v>877500</v>
      </c>
      <c r="J3" s="9">
        <f>Données!$B$1*Données!$B$4*Données!$F$3</f>
        <v>1462500</v>
      </c>
      <c r="K3" s="9">
        <f>Données!$B$1*Données!$B$4*Données!$F$3</f>
        <v>1462500</v>
      </c>
      <c r="L3" s="9">
        <f>Données!$B$1*Données!$B$4*Données!$F$3</f>
        <v>1462500</v>
      </c>
      <c r="M3" s="9">
        <f>Données!$B$1*Données!$B$4*Données!$F$3</f>
        <v>1462500</v>
      </c>
      <c r="N3" s="9">
        <f>Données!$B$1*Données!$B$4*Données!$F$3</f>
        <v>1462500</v>
      </c>
      <c r="P3" s="3">
        <f>SUM(C3:N3)</f>
        <v>18720000</v>
      </c>
    </row>
    <row r="4" spans="1:16">
      <c r="B4" s="4" t="s">
        <v>28</v>
      </c>
      <c r="C4" s="6">
        <f>C3*Données!$B$6</f>
        <v>57330</v>
      </c>
      <c r="D4" s="6">
        <f>D3*Données!$B$6</f>
        <v>57330</v>
      </c>
      <c r="E4" s="6">
        <f>E3*Données!$B$6</f>
        <v>57330</v>
      </c>
      <c r="F4" s="6">
        <f>F3*Données!$B$6</f>
        <v>630630.00000000012</v>
      </c>
      <c r="G4" s="6">
        <f>G3*Données!$B$6</f>
        <v>630630.00000000012</v>
      </c>
      <c r="H4" s="6">
        <f>H3*Données!$B$6</f>
        <v>630630.00000000012</v>
      </c>
      <c r="I4" s="6">
        <f>I3*Données!$B$6</f>
        <v>171990</v>
      </c>
      <c r="J4" s="6">
        <f>J3*Données!$B$6</f>
        <v>286650</v>
      </c>
      <c r="K4" s="6">
        <f>K3*Données!$B$6</f>
        <v>286650</v>
      </c>
      <c r="L4" s="6">
        <f>L3*Données!$B$6</f>
        <v>286650</v>
      </c>
      <c r="M4" s="6">
        <f>M3*Données!$B$6</f>
        <v>286650</v>
      </c>
      <c r="N4" s="6">
        <f>N3*Données!$B$6</f>
        <v>286650</v>
      </c>
    </row>
    <row r="5" spans="1:16">
      <c r="B5" s="72" t="s">
        <v>82</v>
      </c>
      <c r="C5" s="6">
        <f>C3+C4</f>
        <v>349830</v>
      </c>
      <c r="D5" s="6">
        <f t="shared" ref="D5:N5" si="0">D3+D4</f>
        <v>349830</v>
      </c>
      <c r="E5" s="6">
        <f t="shared" si="0"/>
        <v>349830</v>
      </c>
      <c r="F5" s="6">
        <f t="shared" si="0"/>
        <v>3848130.0000000005</v>
      </c>
      <c r="G5" s="6">
        <f t="shared" si="0"/>
        <v>3848130.0000000005</v>
      </c>
      <c r="H5" s="6">
        <f t="shared" si="0"/>
        <v>3848130.0000000005</v>
      </c>
      <c r="I5" s="6">
        <f t="shared" si="0"/>
        <v>1049490</v>
      </c>
      <c r="J5" s="6">
        <f t="shared" si="0"/>
        <v>1749150</v>
      </c>
      <c r="K5" s="6">
        <f t="shared" si="0"/>
        <v>1749150</v>
      </c>
      <c r="L5" s="6">
        <f t="shared" si="0"/>
        <v>1749150</v>
      </c>
      <c r="M5" s="6">
        <f t="shared" si="0"/>
        <v>1749150</v>
      </c>
      <c r="N5" s="6">
        <f t="shared" si="0"/>
        <v>1749150</v>
      </c>
    </row>
    <row r="7" spans="1:16">
      <c r="B7" s="74" t="s">
        <v>31</v>
      </c>
    </row>
    <row r="8" spans="1:16">
      <c r="B8" s="4"/>
      <c r="C8" s="5" t="s">
        <v>15</v>
      </c>
      <c r="D8" s="5" t="s">
        <v>16</v>
      </c>
      <c r="E8" s="5" t="s">
        <v>17</v>
      </c>
      <c r="F8" s="5" t="s">
        <v>18</v>
      </c>
      <c r="G8" s="5" t="s">
        <v>19</v>
      </c>
      <c r="H8" s="5" t="s">
        <v>20</v>
      </c>
      <c r="I8" s="5" t="s">
        <v>21</v>
      </c>
      <c r="J8" s="5" t="s">
        <v>22</v>
      </c>
      <c r="K8" s="5" t="s">
        <v>23</v>
      </c>
      <c r="L8" s="5" t="s">
        <v>24</v>
      </c>
      <c r="M8" s="5" t="s">
        <v>25</v>
      </c>
      <c r="N8" s="5" t="s">
        <v>26</v>
      </c>
    </row>
    <row r="9" spans="1:16">
      <c r="B9" s="7" t="s">
        <v>83</v>
      </c>
      <c r="C9" s="9">
        <f>Données!$B$9</f>
        <v>9000</v>
      </c>
      <c r="D9" s="9">
        <f>Données!$B$9</f>
        <v>9000</v>
      </c>
      <c r="E9" s="9">
        <f>Données!$B$9</f>
        <v>9000</v>
      </c>
      <c r="F9" s="9">
        <f>Données!$B$9</f>
        <v>9000</v>
      </c>
      <c r="G9" s="9">
        <f>Données!$B$9</f>
        <v>9000</v>
      </c>
      <c r="H9" s="9">
        <f>Données!$B$9</f>
        <v>9000</v>
      </c>
      <c r="I9" s="9">
        <f>Données!$B$9</f>
        <v>9000</v>
      </c>
      <c r="J9" s="9">
        <f>Données!$B$9</f>
        <v>9000</v>
      </c>
      <c r="K9" s="9">
        <f>Données!$B$9</f>
        <v>9000</v>
      </c>
      <c r="L9" s="9">
        <f>Données!$B$9</f>
        <v>9000</v>
      </c>
      <c r="M9" s="9">
        <f>Données!$B$9</f>
        <v>9000</v>
      </c>
      <c r="N9" s="9">
        <f>Données!$B$9</f>
        <v>9000</v>
      </c>
      <c r="P9" s="3">
        <f>SUM(C9:N9)</f>
        <v>108000</v>
      </c>
    </row>
    <row r="10" spans="1:16">
      <c r="B10" s="7" t="s">
        <v>84</v>
      </c>
      <c r="C10" s="9">
        <f>Données!$B$10</f>
        <v>35000</v>
      </c>
      <c r="D10" s="9">
        <f>Données!$B$10</f>
        <v>35000</v>
      </c>
      <c r="E10" s="9">
        <f>Données!$B$10</f>
        <v>35000</v>
      </c>
      <c r="F10" s="9">
        <f>Données!$B$10</f>
        <v>35000</v>
      </c>
      <c r="G10" s="9">
        <f>Données!$B$10</f>
        <v>35000</v>
      </c>
      <c r="H10" s="9">
        <f>Données!$B$10</f>
        <v>35000</v>
      </c>
      <c r="I10" s="9">
        <f>Données!$B$10</f>
        <v>35000</v>
      </c>
      <c r="J10" s="9">
        <f>Données!$B$10</f>
        <v>35000</v>
      </c>
      <c r="K10" s="9">
        <f>Données!$B$10</f>
        <v>35000</v>
      </c>
      <c r="L10" s="9">
        <f>Données!$B$10</f>
        <v>35000</v>
      </c>
      <c r="M10" s="9">
        <f>Données!$B$10</f>
        <v>35000</v>
      </c>
      <c r="N10" s="9">
        <f>Données!$B$10</f>
        <v>35000</v>
      </c>
      <c r="P10" s="3">
        <f t="shared" ref="P10:P12" si="1">SUM(C10:N10)</f>
        <v>420000</v>
      </c>
    </row>
    <row r="11" spans="1:16">
      <c r="B11" s="7" t="s">
        <v>28</v>
      </c>
      <c r="C11" s="9"/>
      <c r="D11" s="9">
        <f>TVA!B8</f>
        <v>17640</v>
      </c>
      <c r="E11" s="9">
        <f>TVA!C8</f>
        <v>17640</v>
      </c>
      <c r="F11" s="9">
        <f>TVA!D8</f>
        <v>17640</v>
      </c>
      <c r="G11" s="9">
        <f>TVA!E8</f>
        <v>194039.99999999988</v>
      </c>
      <c r="H11" s="9">
        <f>TVA!F8</f>
        <v>194039.99999999988</v>
      </c>
      <c r="I11" s="9">
        <f>TVA!G8</f>
        <v>194039.99999999988</v>
      </c>
      <c r="J11" s="9">
        <f>TVA!H8</f>
        <v>202860</v>
      </c>
      <c r="K11" s="9">
        <f>TVA!I8</f>
        <v>88200</v>
      </c>
      <c r="L11" s="9">
        <f>TVA!J8</f>
        <v>88200</v>
      </c>
      <c r="M11" s="9">
        <f>TVA!K8</f>
        <v>0</v>
      </c>
      <c r="N11" s="9">
        <f>TVA!L8</f>
        <v>0</v>
      </c>
      <c r="O11" s="9">
        <f>TVA!M8</f>
        <v>0</v>
      </c>
      <c r="P11" s="3">
        <f t="shared" si="1"/>
        <v>1014299.9999999997</v>
      </c>
    </row>
    <row r="12" spans="1:16">
      <c r="B12" s="7" t="s">
        <v>32</v>
      </c>
      <c r="C12" s="9">
        <f>Données!$B$11</f>
        <v>2500</v>
      </c>
      <c r="D12" s="9">
        <f>Données!$B$11</f>
        <v>2500</v>
      </c>
      <c r="E12" s="9">
        <f>Données!$B$11</f>
        <v>2500</v>
      </c>
      <c r="F12" s="9">
        <f>Données!$B$11</f>
        <v>2500</v>
      </c>
      <c r="G12" s="9">
        <f>Données!$B$11</f>
        <v>2500</v>
      </c>
      <c r="H12" s="9">
        <f>Données!$B$11</f>
        <v>2500</v>
      </c>
      <c r="I12" s="9">
        <f>Données!$B$11</f>
        <v>2500</v>
      </c>
      <c r="J12" s="9">
        <f>Données!$B$11</f>
        <v>2500</v>
      </c>
      <c r="K12" s="9">
        <f>Données!$B$11</f>
        <v>2500</v>
      </c>
      <c r="L12" s="9">
        <f>Données!$B$11</f>
        <v>2500</v>
      </c>
      <c r="M12" s="9">
        <f>Données!$B$11</f>
        <v>2500</v>
      </c>
      <c r="N12" s="9">
        <f>Données!$B$11</f>
        <v>2500</v>
      </c>
      <c r="P12" s="3">
        <f t="shared" si="1"/>
        <v>30000</v>
      </c>
    </row>
    <row r="13" spans="1:16">
      <c r="A13" s="78" t="s">
        <v>30</v>
      </c>
      <c r="B13" s="7" t="s">
        <v>47</v>
      </c>
      <c r="C13" s="28">
        <v>1000000</v>
      </c>
      <c r="D13" s="28">
        <f>C5</f>
        <v>349830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30">
        <f>N5</f>
        <v>1749150</v>
      </c>
    </row>
    <row r="14" spans="1:16">
      <c r="A14" s="79"/>
      <c r="B14" s="7" t="s">
        <v>61</v>
      </c>
      <c r="C14" s="10"/>
      <c r="D14" s="10"/>
      <c r="E14" s="10">
        <f>D5</f>
        <v>349830</v>
      </c>
      <c r="F14" s="10"/>
      <c r="G14" s="10"/>
      <c r="H14" s="10"/>
      <c r="I14" s="10"/>
      <c r="J14" s="10"/>
      <c r="K14" s="10"/>
      <c r="L14" s="10"/>
      <c r="M14" s="10"/>
      <c r="N14" s="10"/>
    </row>
    <row r="15" spans="1:16">
      <c r="A15" s="79"/>
      <c r="B15" s="7" t="s">
        <v>49</v>
      </c>
      <c r="C15" s="29"/>
      <c r="D15" s="29"/>
      <c r="E15" s="29"/>
      <c r="F15" s="10">
        <f>E5</f>
        <v>349830</v>
      </c>
      <c r="G15" s="29"/>
      <c r="H15" s="29"/>
      <c r="I15" s="29"/>
      <c r="J15" s="29"/>
      <c r="K15" s="29"/>
      <c r="L15" s="29"/>
      <c r="M15" s="29"/>
      <c r="N15" s="29"/>
    </row>
    <row r="16" spans="1:16">
      <c r="A16" s="79"/>
      <c r="B16" s="7" t="s">
        <v>50</v>
      </c>
      <c r="C16" s="29"/>
      <c r="D16" s="29"/>
      <c r="E16" s="29"/>
      <c r="F16" s="29"/>
      <c r="G16" s="10">
        <f>F5</f>
        <v>3848130.0000000005</v>
      </c>
      <c r="H16" s="29"/>
      <c r="I16" s="29"/>
      <c r="J16" s="29"/>
      <c r="K16" s="29"/>
      <c r="L16" s="29"/>
      <c r="M16" s="29"/>
      <c r="N16" s="29"/>
    </row>
    <row r="17" spans="1:15">
      <c r="A17" s="79"/>
      <c r="B17" s="7" t="s">
        <v>51</v>
      </c>
      <c r="C17" s="29"/>
      <c r="D17" s="29"/>
      <c r="E17" s="29"/>
      <c r="F17" s="29"/>
      <c r="G17" s="29"/>
      <c r="H17" s="10">
        <f>G5</f>
        <v>3848130.0000000005</v>
      </c>
      <c r="I17" s="29"/>
      <c r="J17" s="29"/>
      <c r="K17" s="29"/>
      <c r="L17" s="29"/>
      <c r="M17" s="29"/>
      <c r="N17" s="29"/>
    </row>
    <row r="18" spans="1:15">
      <c r="A18" s="79"/>
      <c r="B18" s="7" t="s">
        <v>52</v>
      </c>
      <c r="C18" s="29"/>
      <c r="D18" s="29"/>
      <c r="E18" s="29"/>
      <c r="F18" s="29"/>
      <c r="G18" s="29"/>
      <c r="H18" s="29"/>
      <c r="I18" s="10">
        <f>H5</f>
        <v>3848130.0000000005</v>
      </c>
      <c r="J18" s="29"/>
      <c r="K18" s="29"/>
      <c r="L18" s="29"/>
      <c r="M18" s="29"/>
      <c r="N18" s="29"/>
    </row>
    <row r="19" spans="1:15">
      <c r="A19" s="79"/>
      <c r="B19" s="7" t="s">
        <v>53</v>
      </c>
      <c r="C19" s="29"/>
      <c r="D19" s="29"/>
      <c r="E19" s="29"/>
      <c r="F19" s="29"/>
      <c r="G19" s="29"/>
      <c r="H19" s="29"/>
      <c r="I19" s="29"/>
      <c r="J19" s="10">
        <f>I5</f>
        <v>1049490</v>
      </c>
      <c r="K19" s="29"/>
      <c r="L19" s="29"/>
      <c r="M19" s="29"/>
      <c r="N19" s="29"/>
    </row>
    <row r="20" spans="1:15">
      <c r="A20" s="79"/>
      <c r="B20" s="7" t="s">
        <v>54</v>
      </c>
      <c r="C20" s="29"/>
      <c r="D20" s="29"/>
      <c r="E20" s="29"/>
      <c r="F20" s="29"/>
      <c r="G20" s="29"/>
      <c r="H20" s="29"/>
      <c r="I20" s="29"/>
      <c r="J20" s="29"/>
      <c r="K20" s="10">
        <f>J5</f>
        <v>1749150</v>
      </c>
      <c r="L20" s="29"/>
      <c r="M20" s="29"/>
      <c r="N20" s="29"/>
    </row>
    <row r="21" spans="1:15">
      <c r="A21" s="79"/>
      <c r="B21" s="7" t="s">
        <v>55</v>
      </c>
      <c r="C21" s="29"/>
      <c r="D21" s="29"/>
      <c r="E21" s="29"/>
      <c r="F21" s="29"/>
      <c r="G21" s="29"/>
      <c r="H21" s="29"/>
      <c r="I21" s="29"/>
      <c r="J21" s="29"/>
      <c r="K21" s="29"/>
      <c r="L21" s="10">
        <f>K5</f>
        <v>1749150</v>
      </c>
      <c r="M21" s="29"/>
      <c r="N21" s="29"/>
    </row>
    <row r="22" spans="1:15">
      <c r="A22" s="79"/>
      <c r="B22" s="7" t="s">
        <v>56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10">
        <f>L5</f>
        <v>1749150</v>
      </c>
      <c r="N22" s="29"/>
    </row>
    <row r="23" spans="1:15">
      <c r="A23" s="79"/>
      <c r="B23" s="7" t="s">
        <v>57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0">
        <f>M5</f>
        <v>1749150</v>
      </c>
    </row>
    <row r="24" spans="1:15">
      <c r="A24" s="80"/>
      <c r="B24" s="7" t="s">
        <v>58</v>
      </c>
      <c r="C24" s="1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">
        <f>N5</f>
        <v>1749150</v>
      </c>
    </row>
    <row r="25" spans="1:15">
      <c r="A25" s="25"/>
      <c r="B25" s="31" t="s">
        <v>62</v>
      </c>
      <c r="C25" s="23">
        <f>SUM(C9:C24)</f>
        <v>1046500</v>
      </c>
      <c r="D25" s="23">
        <f t="shared" ref="D25:O25" si="2">SUM(D9:D24)</f>
        <v>413970</v>
      </c>
      <c r="E25" s="23">
        <f t="shared" si="2"/>
        <v>413970</v>
      </c>
      <c r="F25" s="23">
        <f t="shared" si="2"/>
        <v>413970</v>
      </c>
      <c r="G25" s="23">
        <f t="shared" si="2"/>
        <v>4088670.0000000005</v>
      </c>
      <c r="H25" s="23">
        <f t="shared" si="2"/>
        <v>4088670.0000000005</v>
      </c>
      <c r="I25" s="23">
        <f t="shared" si="2"/>
        <v>4088670.0000000005</v>
      </c>
      <c r="J25" s="23">
        <f t="shared" si="2"/>
        <v>1298850</v>
      </c>
      <c r="K25" s="23">
        <f t="shared" si="2"/>
        <v>1883850</v>
      </c>
      <c r="L25" s="23">
        <f t="shared" si="2"/>
        <v>1883850</v>
      </c>
      <c r="M25" s="23">
        <f t="shared" si="2"/>
        <v>1795650</v>
      </c>
      <c r="N25" s="23">
        <f t="shared" si="2"/>
        <v>1795650</v>
      </c>
      <c r="O25" s="3">
        <f t="shared" si="2"/>
        <v>3498300</v>
      </c>
    </row>
  </sheetData>
  <mergeCells count="1">
    <mergeCell ref="A13:A2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Q11"/>
  <sheetViews>
    <sheetView topLeftCell="F1" workbookViewId="0">
      <selection activeCell="M9" sqref="M9"/>
    </sheetView>
  </sheetViews>
  <sheetFormatPr baseColWidth="10" defaultRowHeight="15"/>
  <cols>
    <col min="1" max="1" width="26.7109375" customWidth="1"/>
  </cols>
  <sheetData>
    <row r="1" spans="1:17" ht="15.75">
      <c r="A1" s="55" t="s">
        <v>64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7" ht="15.7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7" ht="16.5" thickTop="1">
      <c r="A3" s="56"/>
      <c r="B3" s="57" t="s">
        <v>45</v>
      </c>
      <c r="C3" s="57" t="s">
        <v>16</v>
      </c>
      <c r="D3" s="57" t="s">
        <v>17</v>
      </c>
      <c r="E3" s="57" t="s">
        <v>18</v>
      </c>
      <c r="F3" s="57" t="s">
        <v>19</v>
      </c>
      <c r="G3" s="57" t="s">
        <v>20</v>
      </c>
      <c r="H3" s="57" t="s">
        <v>21</v>
      </c>
      <c r="I3" s="57" t="s">
        <v>22</v>
      </c>
      <c r="J3" s="57" t="s">
        <v>23</v>
      </c>
      <c r="K3" s="57" t="s">
        <v>24</v>
      </c>
      <c r="L3" s="57" t="s">
        <v>25</v>
      </c>
      <c r="M3" s="57" t="s">
        <v>26</v>
      </c>
      <c r="N3" s="57" t="s">
        <v>80</v>
      </c>
      <c r="O3" s="13"/>
      <c r="P3" s="13"/>
      <c r="Q3" s="13"/>
    </row>
    <row r="4" spans="1:17">
      <c r="A4" s="58" t="s">
        <v>38</v>
      </c>
      <c r="B4" s="59">
        <f>'ventes et encaissement'!C4</f>
        <v>74970</v>
      </c>
      <c r="C4" s="59">
        <f>'ventes et encaissement'!D4</f>
        <v>74970</v>
      </c>
      <c r="D4" s="59">
        <f>'ventes et encaissement'!E4</f>
        <v>74970</v>
      </c>
      <c r="E4" s="59">
        <f>'ventes et encaissement'!F4</f>
        <v>824670</v>
      </c>
      <c r="F4" s="59">
        <f>'ventes et encaissement'!G4</f>
        <v>824670</v>
      </c>
      <c r="G4" s="59">
        <f>'ventes et encaissement'!H4</f>
        <v>824670</v>
      </c>
      <c r="H4" s="59">
        <f>'ventes et encaissement'!I4</f>
        <v>374850</v>
      </c>
      <c r="I4" s="59">
        <f>'ventes et encaissement'!J4</f>
        <v>374850</v>
      </c>
      <c r="J4" s="59">
        <f>'ventes et encaissement'!K4</f>
        <v>374850</v>
      </c>
      <c r="K4" s="59">
        <f>'ventes et encaissement'!L4</f>
        <v>224910</v>
      </c>
      <c r="L4" s="59">
        <f>'ventes et encaissement'!M4</f>
        <v>224910</v>
      </c>
      <c r="M4" s="59">
        <f>'ventes et encaissement'!N4</f>
        <v>224910</v>
      </c>
      <c r="N4" s="59">
        <f>'ventes et encaissement'!O4</f>
        <v>0</v>
      </c>
      <c r="O4" s="15"/>
      <c r="P4" s="15"/>
      <c r="Q4" s="15"/>
    </row>
    <row r="5" spans="1:17">
      <c r="A5" s="58" t="s">
        <v>39</v>
      </c>
      <c r="B5" s="59">
        <f>'achat et décaissement'!C4</f>
        <v>57330</v>
      </c>
      <c r="C5" s="59">
        <f>'achat et décaissement'!D4</f>
        <v>57330</v>
      </c>
      <c r="D5" s="59">
        <f>'achat et décaissement'!E4</f>
        <v>57330</v>
      </c>
      <c r="E5" s="59">
        <f>'achat et décaissement'!F4</f>
        <v>630630.00000000012</v>
      </c>
      <c r="F5" s="59">
        <f>'achat et décaissement'!G4</f>
        <v>630630.00000000012</v>
      </c>
      <c r="G5" s="59">
        <f>'achat et décaissement'!H4</f>
        <v>630630.00000000012</v>
      </c>
      <c r="H5" s="59">
        <f>'achat et décaissement'!I4</f>
        <v>171990</v>
      </c>
      <c r="I5" s="59">
        <f>'achat et décaissement'!J4</f>
        <v>286650</v>
      </c>
      <c r="J5" s="59">
        <f>'achat et décaissement'!K4</f>
        <v>286650</v>
      </c>
      <c r="K5" s="59">
        <f>'achat et décaissement'!L4</f>
        <v>286650</v>
      </c>
      <c r="L5" s="59">
        <f>'achat et décaissement'!M4</f>
        <v>286650</v>
      </c>
      <c r="M5" s="59">
        <f>'achat et décaissement'!N4</f>
        <v>286650</v>
      </c>
      <c r="N5" s="59">
        <f>'achat et décaissement'!O4</f>
        <v>0</v>
      </c>
      <c r="O5" s="15"/>
      <c r="P5" s="15"/>
      <c r="Q5" s="15"/>
    </row>
    <row r="6" spans="1:17" ht="15.75" customHeight="1">
      <c r="A6" s="58" t="s">
        <v>40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15"/>
      <c r="P6" s="15"/>
      <c r="Q6" s="15"/>
    </row>
    <row r="7" spans="1:17" ht="15.75" customHeight="1">
      <c r="A7" s="58" t="s">
        <v>41</v>
      </c>
      <c r="B7" s="59"/>
      <c r="C7" s="59">
        <f t="shared" ref="C7:N7" si="0">B9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  <c r="H7" s="59">
        <f t="shared" si="0"/>
        <v>0</v>
      </c>
      <c r="I7" s="59">
        <f t="shared" si="0"/>
        <v>0</v>
      </c>
      <c r="J7" s="59">
        <f t="shared" si="0"/>
        <v>0</v>
      </c>
      <c r="K7" s="59">
        <f t="shared" si="0"/>
        <v>0</v>
      </c>
      <c r="L7" s="59">
        <f t="shared" si="0"/>
        <v>61740</v>
      </c>
      <c r="M7" s="59">
        <f t="shared" si="0"/>
        <v>123480</v>
      </c>
      <c r="N7" s="59">
        <f t="shared" si="0"/>
        <v>185220</v>
      </c>
      <c r="O7" s="15"/>
      <c r="P7" s="15"/>
      <c r="Q7" s="15"/>
    </row>
    <row r="8" spans="1:17">
      <c r="A8" s="58" t="s">
        <v>42</v>
      </c>
      <c r="B8" s="59">
        <f t="shared" ref="B8:M8" si="1">IF(B4-(B5+B6+B7)&gt;0,(B4-B5-B6-B7),0)</f>
        <v>17640</v>
      </c>
      <c r="C8" s="59">
        <f t="shared" si="1"/>
        <v>17640</v>
      </c>
      <c r="D8" s="59">
        <f t="shared" si="1"/>
        <v>17640</v>
      </c>
      <c r="E8" s="59">
        <f t="shared" si="1"/>
        <v>194039.99999999988</v>
      </c>
      <c r="F8" s="59">
        <f t="shared" si="1"/>
        <v>194039.99999999988</v>
      </c>
      <c r="G8" s="59">
        <f t="shared" si="1"/>
        <v>194039.99999999988</v>
      </c>
      <c r="H8" s="59">
        <f t="shared" si="1"/>
        <v>202860</v>
      </c>
      <c r="I8" s="59">
        <f t="shared" si="1"/>
        <v>88200</v>
      </c>
      <c r="J8" s="59">
        <f t="shared" si="1"/>
        <v>88200</v>
      </c>
      <c r="K8" s="59">
        <f t="shared" si="1"/>
        <v>0</v>
      </c>
      <c r="L8" s="59">
        <f t="shared" si="1"/>
        <v>0</v>
      </c>
      <c r="M8" s="59">
        <f t="shared" si="1"/>
        <v>0</v>
      </c>
      <c r="N8" s="59">
        <f t="shared" ref="N8" si="2">IF(N4-(N5+N6+N7)&gt;0,(N4-N5-N6-N7),0)</f>
        <v>0</v>
      </c>
      <c r="O8" s="15"/>
      <c r="P8" s="15"/>
      <c r="Q8" s="15"/>
    </row>
    <row r="9" spans="1:17">
      <c r="A9" s="58" t="s">
        <v>43</v>
      </c>
      <c r="B9" s="59">
        <f t="shared" ref="B9:M9" si="3">IF(B4-(B5+B6+B7)&lt;0,(B5+B6+B7)-B4,0)</f>
        <v>0</v>
      </c>
      <c r="C9" s="59">
        <f t="shared" si="3"/>
        <v>0</v>
      </c>
      <c r="D9" s="59">
        <f t="shared" si="3"/>
        <v>0</v>
      </c>
      <c r="E9" s="59">
        <f t="shared" si="3"/>
        <v>0</v>
      </c>
      <c r="F9" s="59">
        <f t="shared" si="3"/>
        <v>0</v>
      </c>
      <c r="G9" s="59">
        <f t="shared" si="3"/>
        <v>0</v>
      </c>
      <c r="H9" s="59">
        <f t="shared" si="3"/>
        <v>0</v>
      </c>
      <c r="I9" s="59">
        <f t="shared" si="3"/>
        <v>0</v>
      </c>
      <c r="J9" s="59">
        <f t="shared" si="3"/>
        <v>0</v>
      </c>
      <c r="K9" s="59">
        <f t="shared" si="3"/>
        <v>61740</v>
      </c>
      <c r="L9" s="59">
        <f t="shared" si="3"/>
        <v>123480</v>
      </c>
      <c r="M9" s="59">
        <f t="shared" si="3"/>
        <v>185220</v>
      </c>
      <c r="N9" s="59">
        <f t="shared" ref="N9" si="4">IF(N4-(N5+N6+N7)&lt;0,(N5+N6+N7)-N4,0)</f>
        <v>185220</v>
      </c>
      <c r="O9" s="15"/>
      <c r="P9" s="15"/>
      <c r="Q9" s="15"/>
    </row>
    <row r="10" spans="1:17" ht="17.25" thickBot="1">
      <c r="A10" s="60" t="s">
        <v>44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  <c r="N10" s="62"/>
      <c r="O10" s="14"/>
      <c r="P10" s="14"/>
      <c r="Q10" s="14"/>
    </row>
    <row r="11" spans="1:17" ht="15.75" thickTop="1"/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O7"/>
  <sheetViews>
    <sheetView workbookViewId="0">
      <selection activeCell="B3" sqref="B3"/>
    </sheetView>
  </sheetViews>
  <sheetFormatPr baseColWidth="10" defaultRowHeight="15"/>
  <cols>
    <col min="1" max="1" width="19.42578125" customWidth="1"/>
    <col min="2" max="2" width="14.28515625" bestFit="1" customWidth="1"/>
    <col min="3" max="3" width="14.42578125" bestFit="1" customWidth="1"/>
    <col min="4" max="13" width="14.28515625" bestFit="1" customWidth="1"/>
    <col min="14" max="14" width="15.85546875" customWidth="1"/>
    <col min="15" max="15" width="14.28515625" bestFit="1" customWidth="1"/>
  </cols>
  <sheetData>
    <row r="1" spans="1:15">
      <c r="A1" t="s">
        <v>33</v>
      </c>
    </row>
    <row r="2" spans="1:15">
      <c r="A2" s="4"/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  <c r="I2" s="5" t="s">
        <v>22</v>
      </c>
      <c r="J2" s="5" t="s">
        <v>23</v>
      </c>
      <c r="K2" s="5" t="s">
        <v>24</v>
      </c>
      <c r="L2" s="5" t="s">
        <v>25</v>
      </c>
      <c r="M2" s="5" t="s">
        <v>26</v>
      </c>
    </row>
    <row r="3" spans="1:15">
      <c r="A3" s="7" t="s">
        <v>34</v>
      </c>
      <c r="B3" s="9">
        <f>Données!B14</f>
        <v>200000</v>
      </c>
      <c r="C3" s="9">
        <f>B6</f>
        <v>-246500</v>
      </c>
      <c r="D3" s="9">
        <f t="shared" ref="D3:M3" si="0">C6</f>
        <v>-60470</v>
      </c>
      <c r="E3" s="9">
        <f t="shared" si="0"/>
        <v>-16970</v>
      </c>
      <c r="F3" s="9">
        <f t="shared" si="0"/>
        <v>26530</v>
      </c>
      <c r="G3" s="9">
        <f t="shared" si="0"/>
        <v>-3604670.0000000005</v>
      </c>
      <c r="H3" s="9">
        <f t="shared" si="0"/>
        <v>-2661170.0000000009</v>
      </c>
      <c r="I3" s="9">
        <f t="shared" si="0"/>
        <v>-1717670.0000000014</v>
      </c>
      <c r="J3" s="9">
        <f t="shared" si="0"/>
        <v>2015649.9999999986</v>
      </c>
      <c r="K3" s="9">
        <f t="shared" si="0"/>
        <v>2419149.9999999981</v>
      </c>
      <c r="L3" s="9">
        <f t="shared" si="0"/>
        <v>2822649.9999999981</v>
      </c>
      <c r="M3" s="9">
        <f t="shared" si="0"/>
        <v>3314349.9999999981</v>
      </c>
    </row>
    <row r="4" spans="1:15">
      <c r="A4" s="7" t="s">
        <v>35</v>
      </c>
      <c r="B4" s="9">
        <f>'ventes et encaissement'!C21</f>
        <v>600000</v>
      </c>
      <c r="C4" s="9">
        <f>'ventes et encaissement'!D21</f>
        <v>600000</v>
      </c>
      <c r="D4" s="9">
        <f>'ventes et encaissement'!E21</f>
        <v>457470</v>
      </c>
      <c r="E4" s="9">
        <f>'ventes et encaissement'!F21</f>
        <v>457470</v>
      </c>
      <c r="F4" s="9">
        <f>'ventes et encaissement'!G21</f>
        <v>457470</v>
      </c>
      <c r="G4" s="9">
        <f>'ventes et encaissement'!H21</f>
        <v>5032170</v>
      </c>
      <c r="H4" s="9">
        <f>'ventes et encaissement'!I21</f>
        <v>5032170</v>
      </c>
      <c r="I4" s="9">
        <f>'ventes et encaissement'!J21</f>
        <v>5032170</v>
      </c>
      <c r="J4" s="9">
        <f>'ventes et encaissement'!K21</f>
        <v>2287350</v>
      </c>
      <c r="K4" s="9">
        <f>'ventes et encaissement'!L21</f>
        <v>2287350</v>
      </c>
      <c r="L4" s="9">
        <f>'ventes et encaissement'!M21</f>
        <v>2287350</v>
      </c>
      <c r="M4" s="9">
        <f>'ventes et encaissement'!N21</f>
        <v>1372410</v>
      </c>
      <c r="N4" s="9">
        <f>'ventes et encaissement'!M5</f>
        <v>1372410</v>
      </c>
      <c r="O4" s="9">
        <f>'ventes et encaissement'!N5</f>
        <v>1372410</v>
      </c>
    </row>
    <row r="5" spans="1:15">
      <c r="A5" s="7" t="s">
        <v>36</v>
      </c>
      <c r="B5" s="9">
        <f>'achat et décaissement'!C25</f>
        <v>1046500</v>
      </c>
      <c r="C5" s="9">
        <f>'achat et décaissement'!D25</f>
        <v>413970</v>
      </c>
      <c r="D5" s="9">
        <f>'achat et décaissement'!E25</f>
        <v>413970</v>
      </c>
      <c r="E5" s="9">
        <f>'achat et décaissement'!F25</f>
        <v>413970</v>
      </c>
      <c r="F5" s="9">
        <f>'achat et décaissement'!G25</f>
        <v>4088670.0000000005</v>
      </c>
      <c r="G5" s="9">
        <f>'achat et décaissement'!H25</f>
        <v>4088670.0000000005</v>
      </c>
      <c r="H5" s="9">
        <f>'achat et décaissement'!I25</f>
        <v>4088670.0000000005</v>
      </c>
      <c r="I5" s="9">
        <f>'achat et décaissement'!J25</f>
        <v>1298850</v>
      </c>
      <c r="J5" s="9">
        <f>'achat et décaissement'!K25</f>
        <v>1883850</v>
      </c>
      <c r="K5" s="9">
        <f>'achat et décaissement'!L25</f>
        <v>1883850</v>
      </c>
      <c r="L5" s="9">
        <f>'achat et décaissement'!M25</f>
        <v>1795650</v>
      </c>
      <c r="M5" s="9">
        <f>'achat et décaissement'!N25</f>
        <v>1795650</v>
      </c>
    </row>
    <row r="6" spans="1:15">
      <c r="A6" s="7" t="s">
        <v>37</v>
      </c>
      <c r="B6" s="12">
        <f>B3+B4-B5</f>
        <v>-246500</v>
      </c>
      <c r="C6" s="12">
        <f t="shared" ref="C6:M6" si="1">C3+C4-C5</f>
        <v>-60470</v>
      </c>
      <c r="D6" s="12">
        <f t="shared" si="1"/>
        <v>-16970</v>
      </c>
      <c r="E6" s="12">
        <f t="shared" si="1"/>
        <v>26530</v>
      </c>
      <c r="F6" s="12">
        <f t="shared" si="1"/>
        <v>-3604670.0000000005</v>
      </c>
      <c r="G6" s="12">
        <f t="shared" si="1"/>
        <v>-2661170.0000000009</v>
      </c>
      <c r="H6" s="12">
        <f t="shared" si="1"/>
        <v>-1717670.0000000014</v>
      </c>
      <c r="I6" s="12">
        <f t="shared" si="1"/>
        <v>2015649.9999999986</v>
      </c>
      <c r="J6" s="12">
        <f t="shared" si="1"/>
        <v>2419149.9999999981</v>
      </c>
      <c r="K6" s="12">
        <f t="shared" si="1"/>
        <v>2822649.9999999981</v>
      </c>
      <c r="L6" s="12">
        <f t="shared" si="1"/>
        <v>3314349.9999999981</v>
      </c>
      <c r="M6" s="12">
        <f t="shared" si="1"/>
        <v>2891109.9999999981</v>
      </c>
    </row>
    <row r="7" spans="1:15">
      <c r="B7" s="33">
        <f>B6/1000</f>
        <v>-246.5</v>
      </c>
      <c r="C7" s="33">
        <f t="shared" ref="C7:M7" si="2">C6/1000</f>
        <v>-60.47</v>
      </c>
      <c r="D7" s="33">
        <f t="shared" si="2"/>
        <v>-16.97</v>
      </c>
      <c r="E7" s="33">
        <f t="shared" si="2"/>
        <v>26.53</v>
      </c>
      <c r="F7" s="33">
        <f t="shared" si="2"/>
        <v>-3604.6700000000005</v>
      </c>
      <c r="G7" s="33">
        <f t="shared" si="2"/>
        <v>-2661.170000000001</v>
      </c>
      <c r="H7" s="33">
        <f t="shared" si="2"/>
        <v>-1717.6700000000014</v>
      </c>
      <c r="I7" s="33">
        <f t="shared" si="2"/>
        <v>2015.6499999999985</v>
      </c>
      <c r="J7" s="33">
        <f t="shared" si="2"/>
        <v>2419.1499999999983</v>
      </c>
      <c r="K7" s="33">
        <f t="shared" si="2"/>
        <v>2822.6499999999983</v>
      </c>
      <c r="L7" s="33">
        <f t="shared" si="2"/>
        <v>3314.3499999999981</v>
      </c>
      <c r="M7" s="33">
        <f t="shared" si="2"/>
        <v>2891.1099999999983</v>
      </c>
    </row>
  </sheetData>
  <conditionalFormatting sqref="B7:H7">
    <cfRule type="cellIs" dxfId="2" priority="2" operator="lessThan">
      <formula>0</formula>
    </cfRule>
  </conditionalFormatting>
  <conditionalFormatting sqref="I7:M7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"/>
  <sheetViews>
    <sheetView showGridLines="0" tabSelected="1" topLeftCell="A2" workbookViewId="0">
      <selection activeCell="K16" sqref="K16"/>
    </sheetView>
  </sheetViews>
  <sheetFormatPr baseColWidth="10" defaultRowHeight="1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2:G26"/>
  <sheetViews>
    <sheetView topLeftCell="A3" workbookViewId="0">
      <selection activeCell="C10" sqref="C10"/>
    </sheetView>
  </sheetViews>
  <sheetFormatPr baseColWidth="10" defaultRowHeight="15"/>
  <cols>
    <col min="1" max="1" width="20.5703125" customWidth="1"/>
    <col min="2" max="2" width="15.7109375" customWidth="1"/>
    <col min="3" max="3" width="19.42578125" customWidth="1"/>
    <col min="4" max="4" width="15.28515625" customWidth="1"/>
    <col min="7" max="7" width="12.85546875" bestFit="1" customWidth="1"/>
  </cols>
  <sheetData>
    <row r="2" spans="1:7">
      <c r="A2" t="s">
        <v>77</v>
      </c>
    </row>
    <row r="3" spans="1:7">
      <c r="A3" s="41" t="s">
        <v>65</v>
      </c>
      <c r="B3" s="42"/>
      <c r="C3" s="41" t="s">
        <v>86</v>
      </c>
      <c r="D3" s="43"/>
    </row>
    <row r="4" spans="1:7">
      <c r="A4" s="36" t="s">
        <v>30</v>
      </c>
      <c r="B4" s="37">
        <f>'achat et décaissement'!P3</f>
        <v>18720000</v>
      </c>
      <c r="C4" s="36" t="s">
        <v>59</v>
      </c>
      <c r="D4" s="83">
        <f>'ventes et encaissement'!$P$3</f>
        <v>22950000</v>
      </c>
      <c r="G4" s="3"/>
    </row>
    <row r="5" spans="1:7">
      <c r="A5" s="36" t="str">
        <f>'achat et décaissement'!B9</f>
        <v>Loyer</v>
      </c>
      <c r="B5" s="37">
        <f>SUM('achat et décaissement'!P9)</f>
        <v>108000</v>
      </c>
      <c r="C5" s="36"/>
      <c r="D5" s="84"/>
    </row>
    <row r="6" spans="1:7">
      <c r="A6" s="36" t="str">
        <f>'achat et décaissement'!B10</f>
        <v>Charges de personnel</v>
      </c>
      <c r="B6" s="37">
        <f>SUM('achat et décaissement'!P10)</f>
        <v>420000</v>
      </c>
      <c r="C6" s="36"/>
      <c r="D6" s="84"/>
    </row>
    <row r="7" spans="1:7">
      <c r="A7" s="36" t="str">
        <f>'achat et décaissement'!B12</f>
        <v>Impots et taxes</v>
      </c>
      <c r="B7" s="37">
        <f>SUM('achat et décaissement'!P12)</f>
        <v>30000</v>
      </c>
      <c r="C7" s="36"/>
      <c r="D7" s="84"/>
    </row>
    <row r="8" spans="1:7">
      <c r="A8" s="36"/>
      <c r="B8" s="82">
        <f>SUM(B4:B7)</f>
        <v>19278000</v>
      </c>
      <c r="C8" s="36"/>
      <c r="D8" s="84"/>
    </row>
    <row r="9" spans="1:7">
      <c r="A9" s="36" t="str">
        <f>IF(D4&gt;B8,"bénéfice","-")</f>
        <v>bénéfice</v>
      </c>
      <c r="B9" s="38">
        <f>IF(D4&gt;B8,D4-B8,0)</f>
        <v>3672000</v>
      </c>
      <c r="C9" s="36" t="str">
        <f>IF(B8&gt;D4,"Perte","-")</f>
        <v>-</v>
      </c>
      <c r="D9" s="84">
        <f>IF(B8&gt;D4,B8-D4,0)</f>
        <v>0</v>
      </c>
    </row>
    <row r="10" spans="1:7">
      <c r="A10" s="39" t="s">
        <v>85</v>
      </c>
      <c r="B10" s="40">
        <f>B8+B9</f>
        <v>22950000</v>
      </c>
      <c r="C10" s="39" t="s">
        <v>85</v>
      </c>
      <c r="D10" s="81">
        <f>D4+D9</f>
        <v>22950000</v>
      </c>
    </row>
    <row r="13" spans="1:7">
      <c r="A13" t="s">
        <v>66</v>
      </c>
    </row>
    <row r="14" spans="1:7">
      <c r="A14" s="44" t="s">
        <v>67</v>
      </c>
      <c r="B14" s="47">
        <f>D4</f>
        <v>22950000</v>
      </c>
      <c r="C14" s="44"/>
    </row>
    <row r="15" spans="1:7">
      <c r="A15" s="45" t="s">
        <v>68</v>
      </c>
      <c r="B15" s="48">
        <f>B4</f>
        <v>18720000</v>
      </c>
      <c r="C15" s="45"/>
    </row>
    <row r="16" spans="1:7">
      <c r="A16" s="49" t="s">
        <v>69</v>
      </c>
      <c r="B16" s="50">
        <f>B14-B15</f>
        <v>4230000</v>
      </c>
      <c r="C16" s="51">
        <f>B16/B14</f>
        <v>0.18431372549019609</v>
      </c>
    </row>
    <row r="17" spans="1:3">
      <c r="A17" s="45" t="s">
        <v>70</v>
      </c>
      <c r="B17" s="48">
        <f>B5+B6+B7</f>
        <v>558000</v>
      </c>
      <c r="C17" s="45"/>
    </row>
    <row r="18" spans="1:3">
      <c r="A18" s="52" t="s">
        <v>71</v>
      </c>
      <c r="B18" s="53">
        <f>B16-B17</f>
        <v>3672000</v>
      </c>
      <c r="C18" s="46"/>
    </row>
    <row r="20" spans="1:3">
      <c r="A20" s="25" t="s">
        <v>72</v>
      </c>
      <c r="B20" s="86">
        <f>(B14*B17)/B16</f>
        <v>3027446.8085106383</v>
      </c>
      <c r="C20" s="3"/>
    </row>
    <row r="21" spans="1:3">
      <c r="A21" s="25" t="s">
        <v>73</v>
      </c>
      <c r="B21" s="87">
        <f>ROUNDDOWN(B20/Données!B3,0)</f>
        <v>11872</v>
      </c>
    </row>
    <row r="22" spans="1:3">
      <c r="A22" s="25"/>
      <c r="B22" s="88"/>
    </row>
    <row r="23" spans="1:3">
      <c r="A23" s="25" t="s">
        <v>74</v>
      </c>
      <c r="B23" s="54">
        <f>(B20/B14)*365</f>
        <v>48.148936170212764</v>
      </c>
    </row>
    <row r="24" spans="1:3">
      <c r="A24" s="25"/>
      <c r="B24" s="88"/>
    </row>
    <row r="25" spans="1:3">
      <c r="A25" s="25" t="s">
        <v>75</v>
      </c>
      <c r="B25" s="86">
        <f>B14-B20</f>
        <v>19922553.191489361</v>
      </c>
    </row>
    <row r="26" spans="1:3">
      <c r="A26" s="25" t="s">
        <v>76</v>
      </c>
      <c r="B26" s="85">
        <f>(B25/B14)</f>
        <v>0.86808510638297876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Données</vt:lpstr>
      <vt:lpstr>ventes et encaissement</vt:lpstr>
      <vt:lpstr>achat et décaissement</vt:lpstr>
      <vt:lpstr>TVA</vt:lpstr>
      <vt:lpstr>Budget de trésorerie</vt:lpstr>
      <vt:lpstr>graphique</vt:lpstr>
      <vt:lpstr>compte resultat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Boitel</dc:creator>
  <cp:lastModifiedBy>Boitel</cp:lastModifiedBy>
  <dcterms:created xsi:type="dcterms:W3CDTF">2012-04-06T15:49:17Z</dcterms:created>
  <dcterms:modified xsi:type="dcterms:W3CDTF">2012-06-09T14:31:08Z</dcterms:modified>
</cp:coreProperties>
</file>